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showInkAnnotation="0"/>
  <mc:AlternateContent xmlns:mc="http://schemas.openxmlformats.org/markup-compatibility/2006">
    <mc:Choice Requires="x15">
      <x15ac:absPath xmlns:x15ac="http://schemas.microsoft.com/office/spreadsheetml/2010/11/ac" url="/Users/kishoremahajan/Desktop/"/>
    </mc:Choice>
  </mc:AlternateContent>
  <xr:revisionPtr revIDLastSave="0" documentId="8_{FD36A0FE-1B78-8C46-82BA-406FC91A40E6}" xr6:coauthVersionLast="47" xr6:coauthVersionMax="47" xr10:uidLastSave="{00000000-0000-0000-0000-000000000000}"/>
  <workbookProtection workbookAlgorithmName="SHA-512" workbookHashValue="+zoyBpDZrcofoFgBPELitBHnKxZEaWMYRrK0jKVdtEhVVxB0Sqbml7LfZmdXBth/yQK+s7Kbxhtlo33O9OkEzg==" workbookSaltValue="J/4F4KAXe3eYsVTiOfvQsQ==" workbookSpinCount="100000" lockStructure="1"/>
  <bookViews>
    <workbookView xWindow="4660" yWindow="600" windowWidth="40140" windowHeight="22780" xr2:uid="{00000000-000D-0000-FFFF-FFFF00000000}"/>
  </bookViews>
  <sheets>
    <sheet name="ArthikDisha Income Tax Calculat" sheetId="1" r:id="rId1"/>
    <sheet name="Tax Calculation New Regime" sheetId="2" r:id="rId2"/>
    <sheet name="Tax Calculation Old Regim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36" i="1" s="1"/>
  <c r="E12" i="1"/>
  <c r="E41" i="1"/>
  <c r="D41" i="1"/>
  <c r="E38" i="1"/>
  <c r="D38" i="1"/>
  <c r="E37" i="1"/>
  <c r="E35" i="1"/>
  <c r="D35" i="1"/>
  <c r="E34" i="1"/>
  <c r="E33" i="1"/>
  <c r="E32" i="1"/>
  <c r="D32" i="1"/>
  <c r="D31" i="1"/>
  <c r="E30" i="1"/>
  <c r="D30" i="1"/>
  <c r="E29" i="1"/>
  <c r="E28" i="1"/>
  <c r="E27" i="1"/>
  <c r="E21" i="1"/>
  <c r="D21" i="1"/>
  <c r="F23" i="3" s="1"/>
  <c r="E20" i="1"/>
  <c r="D20" i="1"/>
  <c r="F22" i="3" s="1"/>
  <c r="E18" i="1"/>
  <c r="D18" i="1"/>
  <c r="E17" i="1"/>
  <c r="E23" i="1" s="1"/>
  <c r="D17" i="1"/>
  <c r="D24" i="1" s="1"/>
  <c r="E16" i="1"/>
  <c r="D16" i="1"/>
  <c r="E15" i="1"/>
  <c r="D15" i="1"/>
  <c r="E13" i="1"/>
  <c r="D13" i="1"/>
  <c r="D12" i="1"/>
  <c r="F24" i="3" l="1"/>
  <c r="E14" i="1"/>
  <c r="E19" i="1" s="1"/>
  <c r="E26" i="1"/>
  <c r="D14" i="1"/>
  <c r="D19" i="1" s="1"/>
  <c r="F24" i="2"/>
  <c r="E22" i="1"/>
  <c r="D42" i="1"/>
  <c r="F9" i="2" s="1"/>
  <c r="D22" i="1"/>
  <c r="D43" i="1" s="1"/>
  <c r="E39" i="1"/>
  <c r="E40" i="1"/>
  <c r="F25" i="2"/>
  <c r="F26" i="2" l="1"/>
  <c r="E42" i="1"/>
  <c r="E14" i="2"/>
  <c r="F14" i="2" s="1"/>
  <c r="E13" i="2"/>
  <c r="F13" i="2" s="1"/>
  <c r="F10" i="2"/>
  <c r="F11" i="2" s="1"/>
  <c r="F28" i="2" s="1"/>
  <c r="F11" i="3"/>
  <c r="E43" i="1" l="1"/>
  <c r="F10" i="3"/>
  <c r="E15" i="2"/>
  <c r="F15" i="2" s="1"/>
  <c r="F12" i="3" l="1"/>
  <c r="F26" i="3" s="1"/>
  <c r="E15" i="3"/>
  <c r="F15" i="3" s="1"/>
  <c r="E14" i="3"/>
  <c r="E16" i="3" s="1"/>
  <c r="F20" i="3"/>
  <c r="E16" i="2"/>
  <c r="F16" i="2" s="1"/>
  <c r="E17" i="2" l="1"/>
  <c r="F14" i="3"/>
  <c r="F16" i="3"/>
  <c r="F17" i="2"/>
  <c r="E18" i="2"/>
  <c r="F18" i="2" s="1"/>
  <c r="E17" i="3" l="1"/>
  <c r="F17" i="3" s="1"/>
  <c r="F18" i="3" s="1"/>
  <c r="F21" i="3" s="1"/>
  <c r="F25" i="3" s="1"/>
  <c r="F27" i="3" s="1"/>
  <c r="F28" i="3" s="1"/>
  <c r="F29" i="3" s="1"/>
  <c r="E44" i="1" s="1"/>
  <c r="E45" i="1" s="1"/>
  <c r="E19" i="2"/>
  <c r="F19" i="2" s="1"/>
  <c r="F20" i="2" s="1"/>
  <c r="F22" i="2" l="1"/>
  <c r="F23" i="2" s="1"/>
  <c r="F27" i="2" s="1"/>
  <c r="F29" i="2" s="1"/>
  <c r="F30" i="2" s="1"/>
  <c r="F31" i="2" l="1"/>
  <c r="D44" i="1" s="1"/>
  <c r="D45" i="1" s="1"/>
  <c r="D47" i="1" l="1"/>
  <c r="C46" i="1"/>
  <c r="D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000-00000A000000}">
      <text>
        <r>
          <rPr>
            <sz val="10"/>
            <color rgb="FF000000"/>
            <rFont val="Arial"/>
            <family val="2"/>
          </rPr>
          <t xml:space="preserve">80TTA- Rs. 10,000/- max exemption for tax payers below 60 years
</t>
        </r>
        <r>
          <rPr>
            <sz val="10"/>
            <color rgb="FF000000"/>
            <rFont val="Arial"/>
            <family val="2"/>
          </rPr>
          <t xml:space="preserve">&amp;
</t>
        </r>
        <r>
          <rPr>
            <sz val="10"/>
            <color rgb="FF000000"/>
            <rFont val="Arial"/>
            <family val="2"/>
          </rPr>
          <t xml:space="preserve">80TTB- Rs. 50,000/- max exemption for Senior Citizens above 60 years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B16" authorId="0" shapeId="0" xr:uid="{00000000-0006-0000-0000-000009000000}">
      <text>
        <r>
          <rPr>
            <sz val="10"/>
            <color rgb="FF000000"/>
            <rFont val="Arial"/>
            <family val="2"/>
          </rPr>
          <t xml:space="preserve">Fully taxable income.
</t>
        </r>
        <r>
          <rPr>
            <sz val="10"/>
            <color rgb="FF000000"/>
            <rFont val="Arial"/>
            <family val="2"/>
          </rPr>
          <t xml:space="preserve">Max exemption Rs. 50,000/- U/S 80TTB for Senior Citizens
</t>
        </r>
        <r>
          <rPr>
            <sz val="10"/>
            <color rgb="FF000000"/>
            <rFont val="Arial"/>
            <family val="2"/>
          </rPr>
          <t xml:space="preserve">&amp;
</t>
        </r>
        <r>
          <rPr>
            <sz val="10"/>
            <color rgb="FF000000"/>
            <rFont val="Arial"/>
            <family val="2"/>
          </rPr>
          <t xml:space="preserve">No Exemption for taxpayers below 60 years for FD interest income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B20" authorId="0" shapeId="0" xr:uid="{00000000-0006-0000-0000-000008000000}">
      <text>
        <r>
          <rPr>
            <sz val="10"/>
            <color rgb="FF000000"/>
            <rFont val="Arial"/>
            <family val="2"/>
          </rPr>
          <t xml:space="preserve">STCG taxable at special rate @20% U/S 111A.
</t>
        </r>
        <r>
          <rPr>
            <sz val="10"/>
            <color rgb="FF000000"/>
            <rFont val="Arial"/>
            <family val="2"/>
          </rPr>
          <t xml:space="preserve">Tax on Other Assets is now Taxed as per the Applicable Slab Rates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B21" authorId="0" shapeId="0" xr:uid="{00000000-0006-0000-0000-000007000000}">
      <text>
        <r>
          <rPr>
            <sz val="10"/>
            <color rgb="FF000000"/>
            <rFont val="Arial"/>
            <family val="2"/>
          </rPr>
          <t xml:space="preserve">LTCG taxable at special rate of 12.50% over gain of Rs. 1.25 Lakh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E26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Exemption allowed " Least of below three component "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E27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40% or 50% of  Basic Salary
	-Arthik Disha</t>
        </r>
      </text>
    </comment>
    <comment ref="E28" authorId="0" shapeId="0" xr:uid="{00000000-0006-0000-0000-000005000000}">
      <text>
        <r>
          <rPr>
            <sz val="10"/>
            <color rgb="FF000000"/>
            <rFont val="Arial"/>
            <family val="2"/>
          </rPr>
          <t xml:space="preserve">Rent paid over 10% of Basic Salary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E29" authorId="0" shapeId="0" xr:uid="{00000000-0006-0000-0000-000004000000}">
      <text>
        <r>
          <rPr>
            <sz val="10"/>
            <color rgb="FF000000"/>
            <rFont val="Arial"/>
            <family val="2"/>
          </rPr>
          <t xml:space="preserve">Actual HRA received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D35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Max Deduction U/S 80CCD(2)
</t>
        </r>
        <r>
          <rPr>
            <sz val="10"/>
            <color rgb="FF000000"/>
            <rFont val="Arial"/>
            <family val="2"/>
          </rPr>
          <t xml:space="preserve">1. Govt. Employees: 14% of Salary (Basic+DA)
</t>
        </r>
        <r>
          <rPr>
            <sz val="10"/>
            <color rgb="FF000000"/>
            <rFont val="Arial"/>
            <family val="2"/>
          </rPr>
          <t xml:space="preserve">2. For other Employees : 14% of salary (Basic + DA)
</t>
        </r>
        <r>
          <rPr>
            <sz val="10"/>
            <color rgb="FF000000"/>
            <rFont val="Arial"/>
            <family val="2"/>
          </rPr>
          <t xml:space="preserve">	-Arthik Disha</t>
        </r>
      </text>
    </comment>
    <comment ref="E3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Max Deduction U/S 80CCD(2)
1. Govt. Employees: 14% of Salary (Basic+DA)
2. For other Employees : 10% of salary (Basic + DA)
	-Arthik Disha</t>
        </r>
      </text>
    </comment>
  </commentList>
</comments>
</file>

<file path=xl/sharedStrings.xml><?xml version="1.0" encoding="utf-8"?>
<sst xmlns="http://schemas.openxmlformats.org/spreadsheetml/2006/main" count="122" uniqueCount="90">
  <si>
    <t>Name of Tax Payer</t>
  </si>
  <si>
    <t>ArthikDisha</t>
  </si>
  <si>
    <t>PAN</t>
  </si>
  <si>
    <t>ARTHD0007A</t>
  </si>
  <si>
    <t>Date of Birth ( DD-MM-YYYY)</t>
  </si>
  <si>
    <t>Age (Years)</t>
  </si>
  <si>
    <t xml:space="preserve">(Fill only the black colored amount column cells applicable to you) </t>
  </si>
  <si>
    <t>Particulars</t>
  </si>
  <si>
    <t>Amount (Rs.)</t>
  </si>
  <si>
    <t>New Regime (Default)</t>
  </si>
  <si>
    <t>Old Regime (Optional)</t>
  </si>
  <si>
    <t>Gross Salary</t>
  </si>
  <si>
    <t>Less: Standard Deduction</t>
  </si>
  <si>
    <t>Net Taxable Salary</t>
  </si>
  <si>
    <t>Income from Bank Interest (Savings Account only)</t>
  </si>
  <si>
    <t>Income from Bank Interest (FD, RD, POMIS, TD etc.)</t>
  </si>
  <si>
    <t>Income from House Rent (Let Out Property)</t>
  </si>
  <si>
    <t>Any other Incomes (Not taxable at special rates)</t>
  </si>
  <si>
    <t>Total Income (Other than income taxable at special rates)</t>
  </si>
  <si>
    <t>Income from Short Term Capital Gains (Section 111A)</t>
  </si>
  <si>
    <t>Income from Long Term Capital Gains (Section 112A)</t>
  </si>
  <si>
    <t>Special Income Chargeable to Tax as per Special Tax rates</t>
  </si>
  <si>
    <t>Less: Interest on Home Loan- Self occupied property-Section 24(b)</t>
  </si>
  <si>
    <t>NA</t>
  </si>
  <si>
    <t>Less: Interest on Home Loan - Let Out Property- Section 24(b)</t>
  </si>
  <si>
    <t>Less: Exemptions U/S 10</t>
  </si>
  <si>
    <t>HRA Exemption(Least of the three) U/S 10(13A)</t>
  </si>
  <si>
    <t>Select Residence</t>
  </si>
  <si>
    <t xml:space="preserve">    a. Basic Salary (Basic+DA)</t>
  </si>
  <si>
    <t xml:space="preserve">    b. Rent Paid</t>
  </si>
  <si>
    <t xml:space="preserve">    c. H.R.A received</t>
  </si>
  <si>
    <t>Less: Exemption on Leave encashment U/S 10(10AA)</t>
  </si>
  <si>
    <t>Less: Transport Allowance for a Specially-Abled person(Max Rs. 38,400 per year)</t>
  </si>
  <si>
    <t>Less: Any other Exempt allowances</t>
  </si>
  <si>
    <t xml:space="preserve">Less: Deduction U/S 80C </t>
  </si>
  <si>
    <t xml:space="preserve">Less: Employee’s contribution to NPS U/S 80CCD(1B) </t>
  </si>
  <si>
    <t>Less: Employer’s contribution to NPS U/S 80CCD(2)</t>
  </si>
  <si>
    <t>Less: Medical Insurance premium (Self, Spouse &amp; Child) U/S 80D</t>
  </si>
  <si>
    <t>Less:  Medical Insurance premium for Senior Citizen Parents U/S 80D</t>
  </si>
  <si>
    <t>Less: Interest Paid on Education Loan U/S 80E</t>
  </si>
  <si>
    <t>Less: Interest from Savings Bank  A/C U/S 80TTA</t>
  </si>
  <si>
    <t>Less: Interest from FD,RD,POMIS etc. U/S 80TTB</t>
  </si>
  <si>
    <t>Less: Other deductions (Not covered above)</t>
  </si>
  <si>
    <t>Total Exemptions and Deductions</t>
  </si>
  <si>
    <t>Net Taxable Income after Deduction &amp; Exemptions (Net Income Liable to Tax)</t>
  </si>
  <si>
    <t>Total Tax Liability</t>
  </si>
  <si>
    <t>Tax Saved Under</t>
  </si>
  <si>
    <t>You Should Opt</t>
  </si>
  <si>
    <t>(Signature of Person responsible for deduction of tax)</t>
  </si>
  <si>
    <t>Full Name:</t>
  </si>
  <si>
    <t>Designation:</t>
  </si>
  <si>
    <t>Tax Calculation as per the New Tax Regime(Default)</t>
  </si>
  <si>
    <t>Net Taxable Income as per normal slab rates</t>
  </si>
  <si>
    <t>Net Taxable Income  as per Special Tax rates</t>
  </si>
  <si>
    <t>Total Taxable Income</t>
  </si>
  <si>
    <t>Income Tax Slabs</t>
  </si>
  <si>
    <t>Tax rate(%)</t>
  </si>
  <si>
    <t>Slab Value</t>
  </si>
  <si>
    <t>Tax Amount</t>
  </si>
  <si>
    <t>Upto 4,00,000</t>
  </si>
  <si>
    <t>4,00,001- 8,00,000</t>
  </si>
  <si>
    <t>8,00,001 - 12,00,000</t>
  </si>
  <si>
    <t>12,00,001 - 16,00,000</t>
  </si>
  <si>
    <t>16,00,001 - 20,00,000</t>
  </si>
  <si>
    <t>20,00,001 - 24,00,000</t>
  </si>
  <si>
    <t>Above 24,00,000</t>
  </si>
  <si>
    <t>Tax on total income as per normal slab rates</t>
  </si>
  <si>
    <t>Less: Tax Rebate U/S 87A-Max Rs 60,000/- (For Net Income up to Rs 12 Lakh with Marginal Relief)</t>
  </si>
  <si>
    <t>Tax after rebate (as per normal Slab Rates)</t>
  </si>
  <si>
    <t>Tax on STCG @20%</t>
  </si>
  <si>
    <t>Tax on LTCG @12.5% over Rs. 1.25 Lakh Gain</t>
  </si>
  <si>
    <t>Total Tax at Special Rates</t>
  </si>
  <si>
    <t>Total Tax</t>
  </si>
  <si>
    <t>Add: Surcharge</t>
  </si>
  <si>
    <t>Tax with surcharge</t>
  </si>
  <si>
    <t>Add: Cess @ 4%</t>
  </si>
  <si>
    <t>Total Tax Liability as per the New Tax Regime</t>
  </si>
  <si>
    <r>
      <rPr>
        <b/>
        <sz val="17"/>
        <color rgb="FFFFFFFF"/>
        <rFont val="Playfair Display"/>
      </rPr>
      <t xml:space="preserve">ArthikDisha Income Tax Calculator Excel </t>
    </r>
    <r>
      <rPr>
        <b/>
        <sz val="17"/>
        <color rgb="FFFFFFFF"/>
        <rFont val="Roboto Serif"/>
      </rPr>
      <t>(FY 2025-26 &amp; AY 2026-27)</t>
    </r>
  </si>
  <si>
    <t>Tax Calculation as per the Old Tax Regime (Optional)</t>
  </si>
  <si>
    <t>Upto 2,50,000</t>
  </si>
  <si>
    <t>2,50,001 - 5,00,000</t>
  </si>
  <si>
    <t>5,00,001 - 10,00,000</t>
  </si>
  <si>
    <t>Above 10,00,000</t>
  </si>
  <si>
    <t>Less: Tax Rebate U/S 87A-Max Rs 25,000/- (For Net Income up to Rs 7 Lakh with Marginal Relief)</t>
  </si>
  <si>
    <t>Metro</t>
  </si>
  <si>
    <t>ArthikDisha Income Tax Calculator Excel (FY 2025-26 &amp; AY 2026-27)</t>
  </si>
  <si>
    <t>Total Tax Liability as per the Old Tax Regime</t>
  </si>
  <si>
    <r>
      <t xml:space="preserve">ArthikDisha Income Tax Calculator Excel </t>
    </r>
    <r>
      <rPr>
        <b/>
        <sz val="17"/>
        <color rgb="FFFFFFFF"/>
        <rFont val="Roboto Serif"/>
      </rPr>
      <t>(FY 2025-26 &amp; AY 2026-27)</t>
    </r>
  </si>
  <si>
    <t>% of Tax on GTI</t>
  </si>
  <si>
    <r>
      <t xml:space="preserve">ArthikDisha Income Tax Calculator Excel </t>
    </r>
    <r>
      <rPr>
        <b/>
        <sz val="26"/>
        <color rgb="FFFFFFFF"/>
        <rFont val="Spectral"/>
      </rPr>
      <t>(FY 2025-26 &amp; AY 2026-27)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</si>
</sst>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"/>
    <numFmt numFmtId="165" formatCode="_ * #,##0_ ;_ * \-#,##0_ ;_ * &quot;-&quot;??_ ;_ @_ "/>
    <numFmt numFmtId="166" formatCode="[$₹-4009]\ #,##0"/>
    <numFmt numFmtId="167" formatCode="_-* #,##0_-;\-* #,##0_-;_-* &quot;-&quot;??_-;_-@"/>
    <numFmt numFmtId="168" formatCode="#,##0.00;\(#,##0.00\)"/>
  </numFmts>
  <fonts count="65">
    <font>
      <sz val="10"/>
      <color rgb="FF000000"/>
      <name val="Arial"/>
      <scheme val="minor"/>
    </font>
    <font>
      <sz val="10"/>
      <name val="Arial"/>
      <family val="2"/>
    </font>
    <font>
      <b/>
      <sz val="26"/>
      <color rgb="FFFFFFFF"/>
      <name val="Merriweather"/>
    </font>
    <font>
      <b/>
      <sz val="18"/>
      <color rgb="FFFFFFFF"/>
      <name val="Playfair Display"/>
    </font>
    <font>
      <b/>
      <sz val="17"/>
      <color rgb="FFFFFFFF"/>
      <name val="Playfair Display"/>
    </font>
    <font>
      <b/>
      <sz val="18"/>
      <color theme="1"/>
      <name val="Merriweather"/>
    </font>
    <font>
      <b/>
      <sz val="15"/>
      <color theme="1"/>
      <name val="Merriweather"/>
    </font>
    <font>
      <sz val="14"/>
      <color theme="1"/>
      <name val="Arial"/>
      <family val="2"/>
      <scheme val="minor"/>
    </font>
    <font>
      <b/>
      <i/>
      <sz val="16"/>
      <color rgb="FF000000"/>
      <name val="Merriweather"/>
    </font>
    <font>
      <b/>
      <sz val="16"/>
      <color theme="1"/>
      <name val="Times New Roman"/>
      <family val="1"/>
    </font>
    <font>
      <b/>
      <sz val="16"/>
      <color rgb="FFFFFFFF"/>
      <name val="Times New Roman"/>
      <family val="1"/>
    </font>
    <font>
      <sz val="15"/>
      <color theme="1"/>
      <name val="Times New Roman"/>
      <family val="1"/>
    </font>
    <font>
      <sz val="15"/>
      <color rgb="FFFFFFFF"/>
      <name val="Spectral"/>
    </font>
    <font>
      <sz val="15"/>
      <color theme="1"/>
      <name val="Spectral"/>
    </font>
    <font>
      <b/>
      <sz val="15"/>
      <color theme="1"/>
      <name val="Spectral"/>
    </font>
    <font>
      <b/>
      <sz val="15"/>
      <color theme="1"/>
      <name val="Times New Roman"/>
      <family val="1"/>
    </font>
    <font>
      <sz val="15"/>
      <color rgb="FFB7B7B7"/>
      <name val="Spectral"/>
    </font>
    <font>
      <b/>
      <sz val="17"/>
      <color rgb="FF000000"/>
      <name val="Playfair Display"/>
    </font>
    <font>
      <b/>
      <sz val="18"/>
      <color theme="1"/>
      <name val="Spectral"/>
    </font>
    <font>
      <sz val="14"/>
      <color theme="1"/>
      <name val="Times New Roman"/>
      <family val="1"/>
    </font>
    <font>
      <b/>
      <sz val="17"/>
      <color rgb="FFFFFFFF"/>
      <name val="Spectral"/>
    </font>
    <font>
      <b/>
      <sz val="18"/>
      <color rgb="FFFFFFFF"/>
      <name val="Times New Roman"/>
      <family val="1"/>
    </font>
    <font>
      <b/>
      <sz val="17"/>
      <color rgb="FF002060"/>
      <name val="Playfair Display"/>
    </font>
    <font>
      <sz val="11"/>
      <color theme="1"/>
      <name val="Calibri"/>
      <family val="2"/>
    </font>
    <font>
      <b/>
      <i/>
      <sz val="12"/>
      <color rgb="FF00B0F0"/>
      <name val="Baguet Script"/>
    </font>
    <font>
      <b/>
      <sz val="16"/>
      <color theme="1"/>
      <name val="Roboto Serif"/>
    </font>
    <font>
      <b/>
      <sz val="15"/>
      <color theme="1"/>
      <name val="Roboto Serif"/>
    </font>
    <font>
      <b/>
      <sz val="15"/>
      <color rgb="FF0000FF"/>
      <name val="Roboto Serif"/>
    </font>
    <font>
      <b/>
      <sz val="14"/>
      <color theme="1"/>
      <name val="Roboto Serif"/>
    </font>
    <font>
      <sz val="14"/>
      <color theme="1"/>
      <name val="Roboto Serif"/>
    </font>
    <font>
      <b/>
      <sz val="15"/>
      <color rgb="FFFFFFFF"/>
      <name val="Roboto Serif"/>
    </font>
    <font>
      <sz val="11"/>
      <color theme="1"/>
      <name val="Roboto Serif"/>
    </font>
    <font>
      <b/>
      <sz val="14"/>
      <color rgb="FF000000"/>
      <name val="Roboto Serif"/>
    </font>
    <font>
      <b/>
      <sz val="14"/>
      <color rgb="FF666666"/>
      <name val="Roboto Serif"/>
    </font>
    <font>
      <b/>
      <sz val="17"/>
      <color rgb="FFFFFFFF"/>
      <name val="Roboto Serif"/>
    </font>
    <font>
      <sz val="10"/>
      <color rgb="FF000000"/>
      <name val="Arial"/>
      <family val="2"/>
    </font>
    <font>
      <b/>
      <sz val="18"/>
      <color rgb="FFFFFFFF"/>
      <name val="Spectral"/>
    </font>
    <font>
      <b/>
      <sz val="20"/>
      <color rgb="FFFFFFFF"/>
      <name val="Times New Roman"/>
      <family val="1"/>
    </font>
    <font>
      <sz val="20"/>
      <name val="Arial"/>
      <family val="2"/>
    </font>
    <font>
      <b/>
      <sz val="20"/>
      <color rgb="FF000000"/>
      <name val="Spectral"/>
    </font>
    <font>
      <b/>
      <sz val="24"/>
      <color rgb="FFFFFFFF"/>
      <name val="Tamil MN Bold"/>
    </font>
    <font>
      <sz val="24"/>
      <name val="Tamil MN Bold"/>
    </font>
    <font>
      <b/>
      <sz val="15"/>
      <color rgb="FFFFFFFF"/>
      <name val="Times New Roman"/>
      <family val="1"/>
    </font>
    <font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b/>
      <sz val="14"/>
      <color rgb="FF002060"/>
      <name val="Playfair Display"/>
    </font>
    <font>
      <sz val="14"/>
      <color rgb="FF000000"/>
      <name val="Arial"/>
      <family val="2"/>
      <scheme val="minor"/>
    </font>
    <font>
      <b/>
      <sz val="12"/>
      <color rgb="FF002060"/>
      <name val="Playfair Display"/>
    </font>
    <font>
      <b/>
      <sz val="26"/>
      <color rgb="FFFFFFFF"/>
      <name val="Playfair Display"/>
    </font>
    <font>
      <b/>
      <sz val="26"/>
      <color rgb="FFFFFFFF"/>
      <name val="Spectral"/>
    </font>
    <font>
      <sz val="26"/>
      <name val="Arial"/>
      <family val="2"/>
    </font>
    <font>
      <b/>
      <sz val="12"/>
      <color theme="1"/>
      <name val="Roboto Serif"/>
    </font>
    <font>
      <sz val="12"/>
      <name val="Arial"/>
      <family val="2"/>
    </font>
    <font>
      <b/>
      <sz val="16"/>
      <color theme="0"/>
      <name val="Roboto Serif"/>
    </font>
    <font>
      <b/>
      <sz val="18"/>
      <color rgb="FFFFFFFF"/>
      <name val="Roboto Serif"/>
    </font>
    <font>
      <sz val="16"/>
      <name val="Arial"/>
      <family val="2"/>
    </font>
    <font>
      <sz val="10"/>
      <color rgb="FF000000"/>
      <name val="Arial"/>
      <family val="2"/>
      <scheme val="minor"/>
    </font>
    <font>
      <b/>
      <sz val="20"/>
      <color rgb="FFFF0000"/>
      <name val="Times New Roman"/>
      <family val="1"/>
    </font>
    <font>
      <b/>
      <sz val="20"/>
      <color rgb="FFFF0000"/>
      <name val="Arial"/>
      <family val="2"/>
    </font>
    <font>
      <b/>
      <sz val="20"/>
      <color theme="4"/>
      <name val="Times New Roman"/>
      <family val="1"/>
    </font>
    <font>
      <b/>
      <sz val="20"/>
      <color rgb="FFFFFFFF"/>
      <name val="Spectral"/>
    </font>
    <font>
      <b/>
      <sz val="20"/>
      <color theme="7" tint="-0.249977111117893"/>
      <name val="Times New Roman"/>
      <family val="1"/>
    </font>
    <font>
      <b/>
      <sz val="22"/>
      <color rgb="FF000000"/>
      <name val="Spectral"/>
    </font>
    <font>
      <sz val="22"/>
      <name val="Arial"/>
      <family val="2"/>
    </font>
    <font>
      <b/>
      <sz val="20"/>
      <color rgb="FF0070C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00FF"/>
        <bgColor rgb="FF0000FF"/>
      </patternFill>
    </fill>
    <fill>
      <patternFill patternType="solid">
        <fgColor theme="8"/>
        <bgColor theme="8"/>
      </patternFill>
    </fill>
    <fill>
      <patternFill patternType="solid">
        <fgColor rgb="FFFFE599"/>
        <bgColor rgb="FFFFE59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  <fill>
      <patternFill patternType="solid">
        <fgColor rgb="FF5B95F9"/>
        <bgColor rgb="FF5B95F9"/>
      </patternFill>
    </fill>
    <fill>
      <patternFill patternType="solid">
        <fgColor rgb="FFE8F0FE"/>
        <bgColor rgb="FFE8F0FE"/>
      </patternFill>
    </fill>
    <fill>
      <patternFill patternType="solid">
        <fgColor rgb="FF8989EB"/>
        <bgColor rgb="FF8989EB"/>
      </patternFill>
    </fill>
    <fill>
      <patternFill patternType="solid">
        <fgColor rgb="FFE8E7FC"/>
        <bgColor rgb="FFE8E7FC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rgb="FFFFFF00"/>
      </patternFill>
    </fill>
    <fill>
      <patternFill patternType="solid">
        <fgColor theme="6" tint="0.39997558519241921"/>
        <bgColor rgb="FFFFE599"/>
      </patternFill>
    </fill>
    <fill>
      <patternFill patternType="solid">
        <fgColor theme="1"/>
        <bgColor rgb="FFE8E7FC"/>
      </patternFill>
    </fill>
    <fill>
      <patternFill patternType="solid">
        <fgColor rgb="FF7030A0"/>
        <bgColor rgb="FF000000"/>
      </patternFill>
    </fill>
  </fills>
  <borders count="50">
    <border>
      <left/>
      <right/>
      <top/>
      <bottom/>
      <diagonal/>
    </border>
    <border>
      <left style="double">
        <color rgb="FFCC4125"/>
      </left>
      <right/>
      <top style="double">
        <color rgb="FFCC4125"/>
      </top>
      <bottom style="double">
        <color rgb="FF4285F4"/>
      </bottom>
      <diagonal/>
    </border>
    <border>
      <left/>
      <right style="double">
        <color rgb="FFCC4125"/>
      </right>
      <top style="double">
        <color rgb="FFCC4125"/>
      </top>
      <bottom style="double">
        <color rgb="FF4285F4"/>
      </bottom>
      <diagonal/>
    </border>
    <border>
      <left style="double">
        <color rgb="FFCC4125"/>
      </left>
      <right/>
      <top style="double">
        <color rgb="FF4285F4"/>
      </top>
      <bottom style="double">
        <color rgb="FF4285F4"/>
      </bottom>
      <diagonal/>
    </border>
    <border>
      <left/>
      <right style="double">
        <color rgb="FFCC4125"/>
      </right>
      <top style="double">
        <color rgb="FF4285F4"/>
      </top>
      <bottom style="double">
        <color rgb="FF4285F4"/>
      </bottom>
      <diagonal/>
    </border>
    <border>
      <left style="double">
        <color rgb="FFCC4125"/>
      </left>
      <right/>
      <top style="double">
        <color rgb="FF4285F4"/>
      </top>
      <bottom style="double">
        <color rgb="FFCC4125"/>
      </bottom>
      <diagonal/>
    </border>
    <border>
      <left/>
      <right style="double">
        <color rgb="FFCC4125"/>
      </right>
      <top style="double">
        <color rgb="FF4285F4"/>
      </top>
      <bottom style="double">
        <color rgb="FFCC4125"/>
      </bottom>
      <diagonal/>
    </border>
    <border>
      <left style="thin">
        <color rgb="FFA5A5A5"/>
      </left>
      <right style="medium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rgb="FFCC4125"/>
      </top>
      <bottom/>
      <diagonal/>
    </border>
    <border>
      <left style="medium">
        <color indexed="64"/>
      </left>
      <right/>
      <top/>
      <bottom style="double">
        <color rgb="FFCC412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rgb="FFA5A5A5"/>
      </right>
      <top style="medium">
        <color indexed="64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/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 style="medium">
        <color indexed="64"/>
      </bottom>
      <diagonal/>
    </border>
    <border>
      <left/>
      <right/>
      <top style="thin">
        <color rgb="FFA5A5A5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 style="medium">
        <color indexed="64"/>
      </left>
      <right/>
      <top style="thick">
        <color rgb="FFFFFFFF"/>
      </top>
      <bottom style="thick">
        <color rgb="FFFFFFFF"/>
      </bottom>
      <diagonal/>
    </border>
    <border>
      <left/>
      <right style="medium">
        <color indexed="64"/>
      </right>
      <top style="thick">
        <color rgb="FFFFFFFF"/>
      </top>
      <bottom style="thick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medium">
        <color indexed="64"/>
      </bottom>
      <diagonal/>
    </border>
  </borders>
  <cellStyleXfs count="2">
    <xf numFmtId="0" fontId="0" fillId="0" borderId="0"/>
    <xf numFmtId="9" fontId="56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164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left"/>
    </xf>
    <xf numFmtId="0" fontId="23" fillId="2" borderId="14" xfId="0" applyFont="1" applyFill="1" applyBorder="1"/>
    <xf numFmtId="0" fontId="23" fillId="0" borderId="0" xfId="0" applyFont="1"/>
    <xf numFmtId="0" fontId="24" fillId="0" borderId="0" xfId="0" applyFont="1"/>
    <xf numFmtId="0" fontId="29" fillId="14" borderId="8" xfId="0" applyFont="1" applyFill="1" applyBorder="1" applyAlignment="1">
      <alignment horizontal="center"/>
    </xf>
    <xf numFmtId="168" fontId="29" fillId="14" borderId="8" xfId="0" applyNumberFormat="1" applyFont="1" applyFill="1" applyBorder="1" applyAlignment="1">
      <alignment horizontal="center"/>
    </xf>
    <xf numFmtId="9" fontId="29" fillId="2" borderId="8" xfId="0" applyNumberFormat="1" applyFont="1" applyFill="1" applyBorder="1" applyAlignment="1">
      <alignment horizontal="center"/>
    </xf>
    <xf numFmtId="168" fontId="29" fillId="2" borderId="8" xfId="0" applyNumberFormat="1" applyFont="1" applyFill="1" applyBorder="1" applyAlignment="1">
      <alignment horizontal="center"/>
    </xf>
    <xf numFmtId="9" fontId="29" fillId="14" borderId="8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12" fillId="3" borderId="30" xfId="0" applyNumberFormat="1" applyFont="1" applyFill="1" applyBorder="1" applyAlignment="1" applyProtection="1">
      <alignment horizontal="right"/>
      <protection locked="0"/>
    </xf>
    <xf numFmtId="166" fontId="13" fillId="0" borderId="8" xfId="0" applyNumberFormat="1" applyFont="1" applyBorder="1" applyProtection="1">
      <protection locked="0"/>
    </xf>
    <xf numFmtId="4" fontId="12" fillId="3" borderId="9" xfId="0" applyNumberFormat="1" applyFont="1" applyFill="1" applyBorder="1" applyAlignment="1" applyProtection="1">
      <alignment horizontal="right"/>
      <protection locked="0"/>
    </xf>
    <xf numFmtId="166" fontId="39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Protection="1">
      <protection locked="0"/>
    </xf>
    <xf numFmtId="4" fontId="26" fillId="12" borderId="34" xfId="0" applyNumberFormat="1" applyFont="1" applyFill="1" applyBorder="1" applyAlignment="1">
      <alignment horizontal="center"/>
    </xf>
    <xf numFmtId="4" fontId="26" fillId="2" borderId="34" xfId="0" applyNumberFormat="1" applyFont="1" applyFill="1" applyBorder="1" applyAlignment="1">
      <alignment horizontal="center"/>
    </xf>
    <xf numFmtId="1" fontId="28" fillId="2" borderId="9" xfId="0" applyNumberFormat="1" applyFont="1" applyFill="1" applyBorder="1" applyAlignment="1">
      <alignment horizontal="center"/>
    </xf>
    <xf numFmtId="1" fontId="28" fillId="2" borderId="36" xfId="0" applyNumberFormat="1" applyFont="1" applyFill="1" applyBorder="1" applyAlignment="1">
      <alignment horizontal="center"/>
    </xf>
    <xf numFmtId="4" fontId="29" fillId="14" borderId="34" xfId="0" applyNumberFormat="1" applyFont="1" applyFill="1" applyBorder="1" applyAlignment="1">
      <alignment horizontal="center"/>
    </xf>
    <xf numFmtId="4" fontId="29" fillId="2" borderId="34" xfId="0" applyNumberFormat="1" applyFont="1" applyFill="1" applyBorder="1" applyAlignment="1">
      <alignment horizontal="center"/>
    </xf>
    <xf numFmtId="4" fontId="30" fillId="3" borderId="35" xfId="0" applyNumberFormat="1" applyFont="1" applyFill="1" applyBorder="1" applyAlignment="1">
      <alignment horizontal="center"/>
    </xf>
    <xf numFmtId="4" fontId="30" fillId="6" borderId="36" xfId="0" applyNumberFormat="1" applyFont="1" applyFill="1" applyBorder="1" applyAlignment="1">
      <alignment horizontal="center" vertical="center"/>
    </xf>
    <xf numFmtId="4" fontId="32" fillId="2" borderId="34" xfId="0" applyNumberFormat="1" applyFont="1" applyFill="1" applyBorder="1" applyAlignment="1">
      <alignment horizontal="center" vertical="center"/>
    </xf>
    <xf numFmtId="4" fontId="33" fillId="16" borderId="34" xfId="0" applyNumberFormat="1" applyFont="1" applyFill="1" applyBorder="1" applyAlignment="1">
      <alignment horizontal="center" vertical="center"/>
    </xf>
    <xf numFmtId="4" fontId="33" fillId="2" borderId="34" xfId="0" applyNumberFormat="1" applyFont="1" applyFill="1" applyBorder="1" applyAlignment="1">
      <alignment horizontal="center" vertical="center"/>
    </xf>
    <xf numFmtId="4" fontId="32" fillId="16" borderId="34" xfId="0" applyNumberFormat="1" applyFont="1" applyFill="1" applyBorder="1" applyAlignment="1">
      <alignment horizontal="center" vertical="center"/>
    </xf>
    <xf numFmtId="4" fontId="28" fillId="2" borderId="34" xfId="0" applyNumberFormat="1" applyFont="1" applyFill="1" applyBorder="1" applyAlignment="1">
      <alignment horizontal="center"/>
    </xf>
    <xf numFmtId="4" fontId="28" fillId="16" borderId="34" xfId="0" applyNumberFormat="1" applyFont="1" applyFill="1" applyBorder="1" applyAlignment="1">
      <alignment horizontal="center"/>
    </xf>
    <xf numFmtId="4" fontId="27" fillId="14" borderId="34" xfId="0" applyNumberFormat="1" applyFont="1" applyFill="1" applyBorder="1" applyAlignment="1">
      <alignment horizontal="center"/>
    </xf>
    <xf numFmtId="0" fontId="3" fillId="3" borderId="23" xfId="0" applyFont="1" applyFill="1" applyBorder="1"/>
    <xf numFmtId="0" fontId="3" fillId="3" borderId="21" xfId="0" applyFont="1" applyFill="1" applyBorder="1"/>
    <xf numFmtId="0" fontId="3" fillId="3" borderId="24" xfId="0" applyFont="1" applyFill="1" applyBorder="1"/>
    <xf numFmtId="0" fontId="9" fillId="0" borderId="28" xfId="0" applyFont="1" applyBorder="1" applyAlignment="1">
      <alignment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42" fillId="6" borderId="28" xfId="0" applyFont="1" applyFill="1" applyBorder="1" applyAlignment="1">
      <alignment horizontal="center" vertical="center" wrapText="1"/>
    </xf>
    <xf numFmtId="0" fontId="42" fillId="7" borderId="28" xfId="0" applyFont="1" applyFill="1" applyBorder="1" applyAlignment="1">
      <alignment horizontal="center" vertical="center" wrapText="1"/>
    </xf>
    <xf numFmtId="165" fontId="11" fillId="0" borderId="29" xfId="0" applyNumberFormat="1" applyFont="1" applyBorder="1"/>
    <xf numFmtId="165" fontId="11" fillId="0" borderId="33" xfId="0" applyNumberFormat="1" applyFont="1" applyBorder="1"/>
    <xf numFmtId="165" fontId="11" fillId="0" borderId="33" xfId="0" applyNumberFormat="1" applyFont="1" applyBorder="1" applyAlignment="1">
      <alignment wrapText="1"/>
    </xf>
    <xf numFmtId="165" fontId="15" fillId="0" borderId="33" xfId="0" applyNumberFormat="1" applyFont="1" applyBorder="1" applyAlignment="1">
      <alignment wrapText="1"/>
    </xf>
    <xf numFmtId="165" fontId="11" fillId="9" borderId="33" xfId="0" applyNumberFormat="1" applyFont="1" applyFill="1" applyBorder="1"/>
    <xf numFmtId="165" fontId="9" fillId="0" borderId="33" xfId="0" applyNumberFormat="1" applyFont="1" applyBorder="1" applyAlignment="1">
      <alignment wrapText="1"/>
    </xf>
    <xf numFmtId="165" fontId="11" fillId="10" borderId="33" xfId="0" applyNumberFormat="1" applyFont="1" applyFill="1" applyBorder="1"/>
    <xf numFmtId="165" fontId="15" fillId="0" borderId="33" xfId="0" applyNumberFormat="1" applyFont="1" applyBorder="1"/>
    <xf numFmtId="165" fontId="19" fillId="0" borderId="33" xfId="0" applyNumberFormat="1" applyFont="1" applyBorder="1"/>
    <xf numFmtId="4" fontId="13" fillId="0" borderId="31" xfId="0" applyNumberFormat="1" applyFont="1" applyBorder="1" applyAlignment="1">
      <alignment horizontal="right"/>
    </xf>
    <xf numFmtId="4" fontId="13" fillId="0" borderId="32" xfId="0" applyNumberFormat="1" applyFont="1" applyBorder="1" applyAlignment="1">
      <alignment horizontal="right"/>
    </xf>
    <xf numFmtId="4" fontId="13" fillId="0" borderId="7" xfId="0" applyNumberFormat="1" applyFont="1" applyBorder="1" applyAlignment="1">
      <alignment horizontal="right"/>
    </xf>
    <xf numFmtId="4" fontId="13" fillId="0" borderId="34" xfId="0" applyNumberFormat="1" applyFont="1" applyBorder="1" applyAlignment="1">
      <alignment horizontal="right"/>
    </xf>
    <xf numFmtId="4" fontId="14" fillId="0" borderId="7" xfId="0" applyNumberFormat="1" applyFont="1" applyBorder="1" applyAlignment="1">
      <alignment horizontal="right"/>
    </xf>
    <xf numFmtId="4" fontId="14" fillId="0" borderId="34" xfId="0" applyNumberFormat="1" applyFont="1" applyBorder="1" applyAlignment="1">
      <alignment horizontal="right"/>
    </xf>
    <xf numFmtId="4" fontId="13" fillId="0" borderId="34" xfId="0" applyNumberFormat="1" applyFont="1" applyBorder="1"/>
    <xf numFmtId="4" fontId="14" fillId="20" borderId="8" xfId="0" applyNumberFormat="1" applyFont="1" applyFill="1" applyBorder="1" applyAlignment="1">
      <alignment horizontal="right"/>
    </xf>
    <xf numFmtId="4" fontId="14" fillId="20" borderId="34" xfId="0" applyNumberFormat="1" applyFont="1" applyFill="1" applyBorder="1" applyAlignment="1">
      <alignment horizontal="right"/>
    </xf>
    <xf numFmtId="4" fontId="14" fillId="9" borderId="8" xfId="0" applyNumberFormat="1" applyFont="1" applyFill="1" applyBorder="1" applyAlignment="1">
      <alignment horizontal="right"/>
    </xf>
    <xf numFmtId="4" fontId="14" fillId="9" borderId="34" xfId="0" applyNumberFormat="1" applyFont="1" applyFill="1" applyBorder="1" applyAlignment="1">
      <alignment horizontal="right"/>
    </xf>
    <xf numFmtId="49" fontId="16" fillId="0" borderId="7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37" xfId="0" applyFont="1" applyBorder="1"/>
    <xf numFmtId="4" fontId="17" fillId="19" borderId="10" xfId="0" applyNumberFormat="1" applyFont="1" applyFill="1" applyBorder="1" applyAlignment="1">
      <alignment horizontal="center" vertical="center"/>
    </xf>
    <xf numFmtId="4" fontId="18" fillId="0" borderId="34" xfId="0" applyNumberFormat="1" applyFont="1" applyBorder="1" applyAlignment="1">
      <alignment horizontal="right"/>
    </xf>
    <xf numFmtId="4" fontId="16" fillId="0" borderId="34" xfId="0" applyNumberFormat="1" applyFont="1" applyBorder="1" applyAlignment="1">
      <alignment horizontal="right"/>
    </xf>
    <xf numFmtId="49" fontId="16" fillId="0" borderId="34" xfId="0" applyNumberFormat="1" applyFont="1" applyBorder="1" applyAlignment="1">
      <alignment horizontal="right"/>
    </xf>
    <xf numFmtId="4" fontId="20" fillId="5" borderId="8" xfId="0" applyNumberFormat="1" applyFont="1" applyFill="1" applyBorder="1" applyAlignment="1">
      <alignment horizontal="right"/>
    </xf>
    <xf numFmtId="4" fontId="20" fillId="5" borderId="34" xfId="0" applyNumberFormat="1" applyFont="1" applyFill="1" applyBorder="1" applyAlignment="1">
      <alignment horizontal="right"/>
    </xf>
    <xf numFmtId="4" fontId="21" fillId="6" borderId="13" xfId="0" applyNumberFormat="1" applyFont="1" applyFill="1" applyBorder="1" applyAlignment="1">
      <alignment horizontal="right"/>
    </xf>
    <xf numFmtId="4" fontId="21" fillId="6" borderId="35" xfId="0" applyNumberFormat="1" applyFont="1" applyFill="1" applyBorder="1" applyAlignment="1">
      <alignment horizontal="right"/>
    </xf>
    <xf numFmtId="4" fontId="36" fillId="3" borderId="7" xfId="0" applyNumberFormat="1" applyFont="1" applyFill="1" applyBorder="1" applyAlignment="1">
      <alignment horizontal="right"/>
    </xf>
    <xf numFmtId="4" fontId="36" fillId="3" borderId="34" xfId="0" applyNumberFormat="1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/>
    </xf>
    <xf numFmtId="3" fontId="6" fillId="2" borderId="22" xfId="0" applyNumberFormat="1" applyFont="1" applyFill="1" applyBorder="1" applyAlignment="1">
      <alignment horizontal="center"/>
    </xf>
    <xf numFmtId="166" fontId="13" fillId="0" borderId="8" xfId="0" applyNumberFormat="1" applyFont="1" applyBorder="1"/>
    <xf numFmtId="4" fontId="13" fillId="0" borderId="10" xfId="0" applyNumberFormat="1" applyFont="1" applyBorder="1"/>
    <xf numFmtId="0" fontId="44" fillId="0" borderId="0" xfId="0" applyFont="1"/>
    <xf numFmtId="0" fontId="47" fillId="0" borderId="0" xfId="0" applyFont="1" applyAlignment="1">
      <alignment horizontal="left"/>
    </xf>
    <xf numFmtId="0" fontId="0" fillId="0" borderId="21" xfId="0" applyBorder="1"/>
    <xf numFmtId="0" fontId="0" fillId="0" borderId="20" xfId="0" applyBorder="1"/>
    <xf numFmtId="0" fontId="7" fillId="0" borderId="21" xfId="0" applyFont="1" applyBorder="1"/>
    <xf numFmtId="0" fontId="7" fillId="0" borderId="20" xfId="0" applyFont="1" applyBorder="1"/>
    <xf numFmtId="0" fontId="7" fillId="0" borderId="22" xfId="0" applyFont="1" applyBorder="1"/>
    <xf numFmtId="4" fontId="53" fillId="21" borderId="34" xfId="0" applyNumberFormat="1" applyFont="1" applyFill="1" applyBorder="1" applyAlignment="1">
      <alignment horizontal="center" vertical="center"/>
    </xf>
    <xf numFmtId="4" fontId="54" fillId="3" borderId="49" xfId="0" applyNumberFormat="1" applyFont="1" applyFill="1" applyBorder="1" applyAlignment="1">
      <alignment horizontal="center"/>
    </xf>
    <xf numFmtId="9" fontId="60" fillId="22" borderId="7" xfId="1" applyFont="1" applyFill="1" applyBorder="1" applyAlignment="1">
      <alignment horizontal="right" vertical="center"/>
    </xf>
    <xf numFmtId="0" fontId="61" fillId="0" borderId="38" xfId="0" applyFont="1" applyBorder="1" applyAlignment="1">
      <alignment horizontal="right"/>
    </xf>
    <xf numFmtId="0" fontId="61" fillId="0" borderId="11" xfId="0" applyFont="1" applyBorder="1" applyAlignment="1">
      <alignment horizontal="left" vertical="center"/>
    </xf>
    <xf numFmtId="0" fontId="40" fillId="17" borderId="25" xfId="0" applyFont="1" applyFill="1" applyBorder="1" applyAlignment="1">
      <alignment horizontal="center"/>
    </xf>
    <xf numFmtId="0" fontId="41" fillId="18" borderId="26" xfId="0" applyFont="1" applyFill="1" applyBorder="1"/>
    <xf numFmtId="0" fontId="41" fillId="18" borderId="27" xfId="0" applyFont="1" applyFill="1" applyBorder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>
      <alignment horizontal="center"/>
    </xf>
    <xf numFmtId="0" fontId="1" fillId="0" borderId="6" xfId="0" applyFont="1" applyBorder="1"/>
    <xf numFmtId="0" fontId="48" fillId="6" borderId="25" xfId="0" applyFont="1" applyFill="1" applyBorder="1" applyAlignment="1">
      <alignment horizontal="center" vertical="center"/>
    </xf>
    <xf numFmtId="0" fontId="50" fillId="0" borderId="26" xfId="0" applyFont="1" applyBorder="1" applyAlignment="1">
      <alignment vertical="center"/>
    </xf>
    <xf numFmtId="0" fontId="8" fillId="4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2" fillId="0" borderId="0" xfId="0" applyFont="1"/>
    <xf numFmtId="0" fontId="0" fillId="0" borderId="0" xfId="0"/>
    <xf numFmtId="4" fontId="14" fillId="0" borderId="35" xfId="0" applyNumberFormat="1" applyFont="1" applyBorder="1" applyAlignment="1">
      <alignment horizontal="right" vertical="center"/>
    </xf>
    <xf numFmtId="0" fontId="1" fillId="0" borderId="36" xfId="0" applyFont="1" applyBorder="1"/>
    <xf numFmtId="165" fontId="9" fillId="0" borderId="38" xfId="0" applyNumberFormat="1" applyFont="1" applyBorder="1" applyAlignment="1">
      <alignment horizontal="left"/>
    </xf>
    <xf numFmtId="0" fontId="1" fillId="0" borderId="12" xfId="0" applyFont="1" applyBorder="1"/>
    <xf numFmtId="0" fontId="57" fillId="0" borderId="38" xfId="0" applyFont="1" applyBorder="1" applyAlignment="1">
      <alignment horizontal="right" vertical="center"/>
    </xf>
    <xf numFmtId="0" fontId="58" fillId="0" borderId="11" xfId="0" applyFont="1" applyBorder="1" applyAlignment="1">
      <alignment horizontal="right" vertical="center"/>
    </xf>
    <xf numFmtId="4" fontId="62" fillId="4" borderId="10" xfId="0" applyNumberFormat="1" applyFont="1" applyFill="1" applyBorder="1" applyAlignment="1">
      <alignment horizontal="center" vertical="center"/>
    </xf>
    <xf numFmtId="0" fontId="63" fillId="2" borderId="37" xfId="0" applyFont="1" applyFill="1" applyBorder="1" applyAlignment="1">
      <alignment vertical="center"/>
    </xf>
    <xf numFmtId="4" fontId="37" fillId="5" borderId="41" xfId="0" applyNumberFormat="1" applyFont="1" applyFill="1" applyBorder="1" applyAlignment="1">
      <alignment horizontal="center"/>
    </xf>
    <xf numFmtId="0" fontId="38" fillId="0" borderId="42" xfId="0" applyFont="1" applyBorder="1"/>
    <xf numFmtId="0" fontId="64" fillId="2" borderId="39" xfId="0" applyFont="1" applyFill="1" applyBorder="1" applyAlignment="1">
      <alignment horizontal="right" vertical="center"/>
    </xf>
    <xf numFmtId="0" fontId="64" fillId="2" borderId="40" xfId="0" applyFont="1" applyFill="1" applyBorder="1" applyAlignment="1">
      <alignment horizontal="right" vertical="center"/>
    </xf>
    <xf numFmtId="0" fontId="59" fillId="0" borderId="38" xfId="0" applyFont="1" applyBorder="1" applyAlignment="1">
      <alignment horizontal="right" vertical="center"/>
    </xf>
    <xf numFmtId="0" fontId="59" fillId="0" borderId="12" xfId="0" applyFont="1" applyBorder="1" applyAlignment="1">
      <alignment horizontal="right" vertical="center"/>
    </xf>
    <xf numFmtId="0" fontId="45" fillId="0" borderId="0" xfId="0" applyFont="1"/>
    <xf numFmtId="0" fontId="46" fillId="0" borderId="0" xfId="0" applyFont="1"/>
    <xf numFmtId="0" fontId="4" fillId="6" borderId="25" xfId="0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25" fillId="11" borderId="2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2" xfId="0" applyFont="1" applyBorder="1"/>
    <xf numFmtId="167" fontId="14" fillId="12" borderId="38" xfId="0" applyNumberFormat="1" applyFont="1" applyFill="1" applyBorder="1"/>
    <xf numFmtId="0" fontId="1" fillId="13" borderId="11" xfId="0" applyFont="1" applyFill="1" applyBorder="1"/>
    <xf numFmtId="0" fontId="1" fillId="13" borderId="12" xfId="0" applyFont="1" applyFill="1" applyBorder="1"/>
    <xf numFmtId="167" fontId="14" fillId="2" borderId="38" xfId="0" applyNumberFormat="1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7" fontId="14" fillId="14" borderId="38" xfId="0" applyNumberFormat="1" applyFont="1" applyFill="1" applyBorder="1"/>
    <xf numFmtId="0" fontId="1" fillId="14" borderId="11" xfId="0" applyFont="1" applyFill="1" applyBorder="1"/>
    <xf numFmtId="0" fontId="1" fillId="14" borderId="12" xfId="0" applyFont="1" applyFill="1" applyBorder="1"/>
    <xf numFmtId="167" fontId="28" fillId="2" borderId="43" xfId="0" applyNumberFormat="1" applyFont="1" applyFill="1" applyBorder="1"/>
    <xf numFmtId="0" fontId="1" fillId="2" borderId="15" xfId="0" applyFont="1" applyFill="1" applyBorder="1"/>
    <xf numFmtId="0" fontId="29" fillId="14" borderId="38" xfId="0" applyFont="1" applyFill="1" applyBorder="1"/>
    <xf numFmtId="0" fontId="29" fillId="2" borderId="38" xfId="0" applyFont="1" applyFill="1" applyBorder="1"/>
    <xf numFmtId="167" fontId="28" fillId="0" borderId="44" xfId="0" applyNumberFormat="1" applyFont="1" applyBorder="1"/>
    <xf numFmtId="0" fontId="1" fillId="0" borderId="16" xfId="0" applyFont="1" applyBorder="1"/>
    <xf numFmtId="0" fontId="1" fillId="0" borderId="17" xfId="0" applyFont="1" applyBorder="1"/>
    <xf numFmtId="167" fontId="29" fillId="16" borderId="38" xfId="0" applyNumberFormat="1" applyFont="1" applyFill="1" applyBorder="1"/>
    <xf numFmtId="0" fontId="1" fillId="16" borderId="11" xfId="0" applyFont="1" applyFill="1" applyBorder="1"/>
    <xf numFmtId="0" fontId="1" fillId="16" borderId="12" xfId="0" applyFont="1" applyFill="1" applyBorder="1"/>
    <xf numFmtId="167" fontId="29" fillId="2" borderId="38" xfId="0" applyNumberFormat="1" applyFont="1" applyFill="1" applyBorder="1"/>
    <xf numFmtId="167" fontId="30" fillId="6" borderId="47" xfId="0" applyNumberFormat="1" applyFont="1" applyFill="1" applyBorder="1"/>
    <xf numFmtId="0" fontId="1" fillId="2" borderId="41" xfId="0" applyFont="1" applyFill="1" applyBorder="1"/>
    <xf numFmtId="0" fontId="1" fillId="2" borderId="48" xfId="0" applyFont="1" applyFill="1" applyBorder="1"/>
    <xf numFmtId="167" fontId="31" fillId="3" borderId="45" xfId="0" applyNumberFormat="1" applyFont="1" applyFill="1" applyBorder="1"/>
    <xf numFmtId="0" fontId="1" fillId="0" borderId="18" xfId="0" applyFont="1" applyBorder="1"/>
    <xf numFmtId="0" fontId="1" fillId="0" borderId="46" xfId="0" applyFont="1" applyBorder="1"/>
    <xf numFmtId="167" fontId="51" fillId="8" borderId="43" xfId="0" applyNumberFormat="1" applyFont="1" applyFill="1" applyBorder="1" applyAlignment="1">
      <alignment horizontal="left" vertical="center" wrapText="1"/>
    </xf>
    <xf numFmtId="0" fontId="52" fillId="15" borderId="19" xfId="0" applyFont="1" applyFill="1" applyBorder="1" applyAlignment="1">
      <alignment vertical="center"/>
    </xf>
    <xf numFmtId="0" fontId="52" fillId="15" borderId="15" xfId="0" applyFont="1" applyFill="1" applyBorder="1" applyAlignment="1">
      <alignment vertical="center"/>
    </xf>
    <xf numFmtId="167" fontId="28" fillId="2" borderId="38" xfId="0" applyNumberFormat="1" applyFont="1" applyFill="1" applyBorder="1" applyAlignment="1">
      <alignment horizontal="left" wrapText="1"/>
    </xf>
    <xf numFmtId="167" fontId="28" fillId="16" borderId="38" xfId="0" applyNumberFormat="1" applyFont="1" applyFill="1" applyBorder="1" applyAlignment="1">
      <alignment horizontal="left" wrapText="1"/>
    </xf>
    <xf numFmtId="0" fontId="25" fillId="4" borderId="21" xfId="0" applyFont="1" applyFill="1" applyBorder="1" applyAlignment="1">
      <alignment horizontal="center" vertical="center" wrapText="1"/>
    </xf>
    <xf numFmtId="167" fontId="25" fillId="0" borderId="44" xfId="0" applyNumberFormat="1" applyFont="1" applyBorder="1" applyAlignment="1">
      <alignment horizontal="left" vertical="center"/>
    </xf>
    <xf numFmtId="0" fontId="55" fillId="0" borderId="16" xfId="0" applyFont="1" applyBorder="1" applyAlignment="1">
      <alignment horizontal="left" vertical="center"/>
    </xf>
    <xf numFmtId="0" fontId="55" fillId="0" borderId="17" xfId="0" applyFont="1" applyBorder="1" applyAlignment="1">
      <alignment horizontal="left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004E00"/>
      <color rgb="FF0F1860"/>
      <color rgb="FF001660"/>
      <color rgb="FFFF6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rthikdisha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rthikdisha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rthikdis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148167</xdr:colOff>
      <xdr:row>2</xdr:row>
      <xdr:rowOff>63499</xdr:rowOff>
    </xdr:from>
    <xdr:ext cx="1862667" cy="147108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17250" y="677332"/>
          <a:ext cx="1862667" cy="147108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0</xdr:row>
      <xdr:rowOff>16076</xdr:rowOff>
    </xdr:from>
    <xdr:ext cx="1698424" cy="1052975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8E278E-3DD1-6445-8F2B-EAF42AB780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87715" y="16076"/>
          <a:ext cx="1698424" cy="1052975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265251</xdr:colOff>
      <xdr:row>4</xdr:row>
      <xdr:rowOff>8038</xdr:rowOff>
    </xdr:from>
    <xdr:to>
      <xdr:col>5</xdr:col>
      <xdr:colOff>1221772</xdr:colOff>
      <xdr:row>6</xdr:row>
      <xdr:rowOff>16077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13F800-7AB7-D54F-99FE-7261544253C5}"/>
            </a:ext>
          </a:extLst>
        </xdr:cNvPr>
        <xdr:cNvSpPr txBox="1"/>
      </xdr:nvSpPr>
      <xdr:spPr>
        <a:xfrm>
          <a:off x="852023" y="779684"/>
          <a:ext cx="6993040" cy="393861"/>
        </a:xfrm>
        <a:prstGeom prst="rect">
          <a:avLst/>
        </a:prstGeom>
        <a:solidFill>
          <a:schemeClr val="accent5">
            <a:lumMod val="20000"/>
            <a:lumOff val="80000"/>
            <a:alpha val="0"/>
          </a:schemeClr>
        </a:solidFill>
        <a:ln>
          <a:solidFill>
            <a:schemeClr val="bg1">
              <a:alpha val="33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800" b="1" i="0" cap="none" spc="0">
              <a:ln w="0"/>
              <a:solidFill>
                <a:schemeClr val="bg1">
                  <a:lumMod val="50000"/>
                </a:schemeClr>
              </a:solidFill>
              <a:effectLst/>
              <a:latin typeface="Tamil MN" pitchFamily="2" charset="0"/>
              <a:cs typeface="Tamil MN" pitchFamily="2" charset="0"/>
            </a:rPr>
            <a:t>ArthikDisha: " Be Confident and Make a Financial Change 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743253</xdr:colOff>
      <xdr:row>0</xdr:row>
      <xdr:rowOff>166912</xdr:rowOff>
    </xdr:from>
    <xdr:ext cx="1850571" cy="1152073"/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7A338-CDA6-844B-A9AD-A69FAE936B3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10720" y="166912"/>
          <a:ext cx="1850571" cy="1152073"/>
        </a:xfrm>
        <a:prstGeom prst="rect">
          <a:avLst/>
        </a:prstGeom>
        <a:noFill/>
      </xdr:spPr>
    </xdr:pic>
    <xdr:clientData fLocksWithSheet="0"/>
  </xdr:oneCellAnchor>
  <xdr:twoCellAnchor>
    <xdr:from>
      <xdr:col>1</xdr:col>
      <xdr:colOff>245533</xdr:colOff>
      <xdr:row>5</xdr:row>
      <xdr:rowOff>0</xdr:rowOff>
    </xdr:from>
    <xdr:to>
      <xdr:col>5</xdr:col>
      <xdr:colOff>1794506</xdr:colOff>
      <xdr:row>7</xdr:row>
      <xdr:rowOff>4395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D2821B-BCD0-BA45-980D-E5E7520CE729}"/>
            </a:ext>
          </a:extLst>
        </xdr:cNvPr>
        <xdr:cNvSpPr txBox="1"/>
      </xdr:nvSpPr>
      <xdr:spPr>
        <a:xfrm>
          <a:off x="643466" y="973667"/>
          <a:ext cx="6993040" cy="393861"/>
        </a:xfrm>
        <a:prstGeom prst="rect">
          <a:avLst/>
        </a:prstGeom>
        <a:solidFill>
          <a:schemeClr val="accent5">
            <a:lumMod val="20000"/>
            <a:lumOff val="80000"/>
            <a:alpha val="0"/>
          </a:schemeClr>
        </a:solidFill>
        <a:ln>
          <a:solidFill>
            <a:schemeClr val="bg1">
              <a:alpha val="33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800" b="1" i="0" cap="none" spc="0">
              <a:ln w="0"/>
              <a:solidFill>
                <a:schemeClr val="bg1">
                  <a:lumMod val="50000"/>
                </a:schemeClr>
              </a:solidFill>
              <a:effectLst/>
              <a:latin typeface="Tamil MN" pitchFamily="2" charset="0"/>
              <a:cs typeface="Tamil MN" pitchFamily="2" charset="0"/>
            </a:rPr>
            <a:t>ArthikDisha: " Be Confident and Make a Financial Change 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  <pageSetUpPr fitToPage="1"/>
  </sheetPr>
  <dimension ref="B1:H61"/>
  <sheetViews>
    <sheetView showGridLines="0" showRowColHeaders="0" tabSelected="1" zoomScale="108" zoomScaleNormal="108" workbookViewId="0">
      <selection activeCell="C15" sqref="C15"/>
    </sheetView>
  </sheetViews>
  <sheetFormatPr baseColWidth="10" defaultColWidth="12.6640625" defaultRowHeight="15.75" customHeight="1"/>
  <cols>
    <col min="1" max="1" width="8" customWidth="1"/>
    <col min="2" max="2" width="84" customWidth="1"/>
    <col min="3" max="3" width="27" customWidth="1"/>
    <col min="4" max="4" width="25.83203125" customWidth="1"/>
    <col min="5" max="5" width="26.5" customWidth="1"/>
    <col min="8" max="8" width="15.6640625" customWidth="1"/>
  </cols>
  <sheetData>
    <row r="1" spans="2:8" ht="15.75" customHeight="1" thickBot="1"/>
    <row r="2" spans="2:8" ht="33" customHeight="1" thickBot="1">
      <c r="B2" s="95" t="s">
        <v>85</v>
      </c>
      <c r="C2" s="96"/>
      <c r="D2" s="96"/>
      <c r="E2" s="97"/>
      <c r="F2" s="1"/>
      <c r="G2" s="1"/>
      <c r="H2" s="1"/>
    </row>
    <row r="3" spans="2:8" ht="3" customHeight="1" thickBot="1">
      <c r="B3" s="85"/>
      <c r="C3" s="86"/>
      <c r="D3" s="86"/>
      <c r="E3" s="21"/>
    </row>
    <row r="4" spans="2:8" ht="27" customHeight="1" thickTop="1" thickBot="1">
      <c r="B4" s="37" t="s">
        <v>0</v>
      </c>
      <c r="C4" s="98" t="s">
        <v>1</v>
      </c>
      <c r="D4" s="99"/>
      <c r="E4" s="77"/>
      <c r="F4" s="2"/>
      <c r="G4" s="2"/>
      <c r="H4" s="3"/>
    </row>
    <row r="5" spans="2:8" ht="28" thickTop="1" thickBot="1">
      <c r="B5" s="38" t="s">
        <v>2</v>
      </c>
      <c r="C5" s="100" t="s">
        <v>3</v>
      </c>
      <c r="D5" s="101"/>
      <c r="E5" s="78"/>
      <c r="F5" s="2"/>
      <c r="G5" s="2"/>
      <c r="H5" s="3"/>
    </row>
    <row r="6" spans="2:8" ht="28" thickTop="1" thickBot="1">
      <c r="B6" s="38" t="s">
        <v>4</v>
      </c>
      <c r="C6" s="102">
        <v>23993</v>
      </c>
      <c r="D6" s="101"/>
      <c r="E6" s="79"/>
      <c r="F6" s="4"/>
      <c r="G6" s="4"/>
      <c r="H6" s="3"/>
    </row>
    <row r="7" spans="2:8" ht="28" thickTop="1" thickBot="1">
      <c r="B7" s="39" t="s">
        <v>5</v>
      </c>
      <c r="C7" s="103">
        <f ca="1">DATEDIF(C6,TODAY(),"Y")</f>
        <v>60</v>
      </c>
      <c r="D7" s="104"/>
      <c r="E7" s="80"/>
      <c r="F7" s="5"/>
      <c r="G7" s="5"/>
      <c r="H7" s="3"/>
    </row>
    <row r="8" spans="2:8" ht="6" customHeight="1" thickTop="1" thickBot="1">
      <c r="B8" s="87"/>
      <c r="C8" s="88"/>
      <c r="D8" s="88"/>
      <c r="E8" s="89"/>
      <c r="F8" s="3"/>
      <c r="G8" s="3"/>
      <c r="H8" s="3"/>
    </row>
    <row r="9" spans="2:8" ht="31" customHeight="1" thickBot="1">
      <c r="B9" s="105" t="s">
        <v>89</v>
      </c>
      <c r="C9" s="106"/>
      <c r="D9" s="106"/>
      <c r="E9" s="106"/>
      <c r="F9" s="3"/>
      <c r="G9" s="3"/>
      <c r="H9" s="3"/>
    </row>
    <row r="10" spans="2:8" ht="27" customHeight="1" thickBot="1">
      <c r="B10" s="107" t="s">
        <v>6</v>
      </c>
      <c r="C10" s="108"/>
      <c r="D10" s="108"/>
      <c r="E10" s="109"/>
      <c r="F10" s="3"/>
      <c r="G10" s="3"/>
      <c r="H10" s="3"/>
    </row>
    <row r="11" spans="2:8" s="16" customFormat="1" ht="29" customHeight="1" thickBot="1">
      <c r="B11" s="40" t="s">
        <v>7</v>
      </c>
      <c r="C11" s="41" t="s">
        <v>8</v>
      </c>
      <c r="D11" s="42" t="s">
        <v>9</v>
      </c>
      <c r="E11" s="43" t="s">
        <v>10</v>
      </c>
      <c r="F11" s="15"/>
      <c r="G11" s="15"/>
      <c r="H11" s="15"/>
    </row>
    <row r="12" spans="2:8" ht="19">
      <c r="B12" s="44" t="s">
        <v>11</v>
      </c>
      <c r="C12" s="17">
        <v>1500000</v>
      </c>
      <c r="D12" s="53">
        <f>+C12</f>
        <v>1500000</v>
      </c>
      <c r="E12" s="54">
        <f>+C12</f>
        <v>1500000</v>
      </c>
      <c r="F12" s="3"/>
      <c r="G12" s="3"/>
      <c r="H12" s="3"/>
    </row>
    <row r="13" spans="2:8" ht="19">
      <c r="B13" s="45" t="s">
        <v>12</v>
      </c>
      <c r="C13" s="81"/>
      <c r="D13" s="55">
        <f>+IF(C12&gt;75000,75000,C12)</f>
        <v>75000</v>
      </c>
      <c r="E13" s="56">
        <f>+IF(C12&gt;50000,50000,C12)</f>
        <v>50000</v>
      </c>
      <c r="F13" s="3"/>
      <c r="G13" s="3"/>
      <c r="H13" s="3"/>
    </row>
    <row r="14" spans="2:8" ht="19">
      <c r="B14" s="45" t="s">
        <v>13</v>
      </c>
      <c r="C14" s="81"/>
      <c r="D14" s="57">
        <f t="shared" ref="D14:E14" si="0">D12-D13</f>
        <v>1425000</v>
      </c>
      <c r="E14" s="58">
        <f t="shared" si="0"/>
        <v>1450000</v>
      </c>
      <c r="F14" s="3"/>
      <c r="G14" s="3"/>
      <c r="H14" s="3"/>
    </row>
    <row r="15" spans="2:8" ht="20">
      <c r="B15" s="46" t="s">
        <v>14</v>
      </c>
      <c r="C15" s="19">
        <v>0</v>
      </c>
      <c r="D15" s="55">
        <f t="shared" ref="D15:D16" si="1">C15</f>
        <v>0</v>
      </c>
      <c r="E15" s="59">
        <f t="shared" ref="E15:E16" si="2">+C15</f>
        <v>0</v>
      </c>
      <c r="F15" s="3"/>
      <c r="G15" s="3"/>
      <c r="H15" s="3"/>
    </row>
    <row r="16" spans="2:8" ht="20">
      <c r="B16" s="46" t="s">
        <v>15</v>
      </c>
      <c r="C16" s="19">
        <v>0</v>
      </c>
      <c r="D16" s="55">
        <f t="shared" si="1"/>
        <v>0</v>
      </c>
      <c r="E16" s="59">
        <f t="shared" si="2"/>
        <v>0</v>
      </c>
      <c r="F16" s="3"/>
      <c r="G16" s="3"/>
      <c r="H16" s="3"/>
    </row>
    <row r="17" spans="2:8" ht="20">
      <c r="B17" s="46" t="s">
        <v>16</v>
      </c>
      <c r="C17" s="19">
        <v>0</v>
      </c>
      <c r="D17" s="55">
        <f>+C17*0.7</f>
        <v>0</v>
      </c>
      <c r="E17" s="56">
        <f>+C17*0.7</f>
        <v>0</v>
      </c>
      <c r="F17" s="3"/>
      <c r="G17" s="3"/>
      <c r="H17" s="3"/>
    </row>
    <row r="18" spans="2:8" ht="20">
      <c r="B18" s="46" t="s">
        <v>17</v>
      </c>
      <c r="C18" s="19">
        <v>0</v>
      </c>
      <c r="D18" s="55">
        <f>+C18</f>
        <v>0</v>
      </c>
      <c r="E18" s="59">
        <f>+C18</f>
        <v>0</v>
      </c>
      <c r="F18" s="3"/>
      <c r="G18" s="3"/>
      <c r="H18" s="3"/>
    </row>
    <row r="19" spans="2:8" ht="20">
      <c r="B19" s="47" t="s">
        <v>18</v>
      </c>
      <c r="C19" s="81"/>
      <c r="D19" s="60">
        <f t="shared" ref="D19:E19" si="3">D14+D15+D16+D17+D18</f>
        <v>1425000</v>
      </c>
      <c r="E19" s="61">
        <f t="shared" si="3"/>
        <v>1450000</v>
      </c>
      <c r="F19" s="3"/>
      <c r="G19" s="3"/>
      <c r="H19" s="3"/>
    </row>
    <row r="20" spans="2:8" ht="19.5" customHeight="1">
      <c r="B20" s="48" t="s">
        <v>19</v>
      </c>
      <c r="C20" s="19">
        <v>50000</v>
      </c>
      <c r="D20" s="55">
        <f>C20</f>
        <v>50000</v>
      </c>
      <c r="E20" s="56">
        <f>C20</f>
        <v>50000</v>
      </c>
      <c r="F20" s="3"/>
      <c r="G20" s="3"/>
      <c r="H20" s="3"/>
    </row>
    <row r="21" spans="2:8" ht="20.25" customHeight="1">
      <c r="B21" s="48" t="s">
        <v>20</v>
      </c>
      <c r="C21" s="19">
        <v>250000</v>
      </c>
      <c r="D21" s="55">
        <f>IF((C21-125000)&gt;0,(C21-125000),0)</f>
        <v>125000</v>
      </c>
      <c r="E21" s="59">
        <f>IF((C21-125000)&gt;0,(C21-125000),0)</f>
        <v>125000</v>
      </c>
      <c r="F21" s="3"/>
      <c r="G21" s="3"/>
      <c r="H21" s="3"/>
    </row>
    <row r="22" spans="2:8" ht="21">
      <c r="B22" s="49" t="s">
        <v>21</v>
      </c>
      <c r="C22" s="18"/>
      <c r="D22" s="62">
        <f t="shared" ref="D22:E22" si="4">D20+D21</f>
        <v>175000</v>
      </c>
      <c r="E22" s="63">
        <f t="shared" si="4"/>
        <v>175000</v>
      </c>
      <c r="F22" s="3"/>
      <c r="G22" s="3"/>
      <c r="H22" s="3"/>
    </row>
    <row r="23" spans="2:8" ht="19">
      <c r="B23" s="50" t="s">
        <v>22</v>
      </c>
      <c r="C23" s="19">
        <v>0</v>
      </c>
      <c r="D23" s="64" t="s">
        <v>23</v>
      </c>
      <c r="E23" s="112">
        <f>IF((C23+C24-E17)&gt;200000,200000+E17,(C23+C24))</f>
        <v>0</v>
      </c>
      <c r="F23" s="3"/>
      <c r="G23" s="3"/>
      <c r="H23" s="3"/>
    </row>
    <row r="24" spans="2:8" ht="19">
      <c r="B24" s="50" t="s">
        <v>24</v>
      </c>
      <c r="C24" s="19">
        <v>0</v>
      </c>
      <c r="D24" s="57">
        <f>IF((C24-D17)&gt;0,D17,C24)</f>
        <v>0</v>
      </c>
      <c r="E24" s="113"/>
      <c r="F24" s="3"/>
      <c r="G24" s="3"/>
      <c r="H24" s="3"/>
    </row>
    <row r="25" spans="2:8" ht="19">
      <c r="B25" s="51" t="s">
        <v>25</v>
      </c>
      <c r="C25" s="82"/>
      <c r="D25" s="65"/>
      <c r="E25" s="66"/>
      <c r="F25" s="3"/>
      <c r="G25" s="3"/>
      <c r="H25" s="3"/>
    </row>
    <row r="26" spans="2:8" ht="25">
      <c r="B26" s="45" t="s">
        <v>26</v>
      </c>
      <c r="C26" s="20" t="s">
        <v>84</v>
      </c>
      <c r="D26" s="67" t="s">
        <v>27</v>
      </c>
      <c r="E26" s="68">
        <f>MAX(MIN(E27:E29),0)</f>
        <v>250000</v>
      </c>
      <c r="F26" s="3"/>
      <c r="G26" s="3"/>
      <c r="H26" s="3"/>
    </row>
    <row r="27" spans="2:8" ht="19">
      <c r="B27" s="45" t="s">
        <v>28</v>
      </c>
      <c r="C27" s="19">
        <v>600000</v>
      </c>
      <c r="D27" s="64" t="s">
        <v>23</v>
      </c>
      <c r="E27" s="69">
        <f>IF(C26="METRO",C27*0.5, C27*0.4)</f>
        <v>300000</v>
      </c>
      <c r="F27" s="3"/>
      <c r="G27" s="3"/>
      <c r="H27" s="3"/>
    </row>
    <row r="28" spans="2:8" ht="19">
      <c r="B28" s="45" t="s">
        <v>29</v>
      </c>
      <c r="C28" s="19">
        <v>360000</v>
      </c>
      <c r="D28" s="64" t="s">
        <v>23</v>
      </c>
      <c r="E28" s="69">
        <f>(C28-(C27*0.1))</f>
        <v>300000</v>
      </c>
      <c r="F28" s="3"/>
      <c r="G28" s="3"/>
      <c r="H28" s="3"/>
    </row>
    <row r="29" spans="2:8" ht="19">
      <c r="B29" s="45" t="s">
        <v>30</v>
      </c>
      <c r="C29" s="19">
        <v>250000</v>
      </c>
      <c r="D29" s="64" t="s">
        <v>23</v>
      </c>
      <c r="E29" s="69">
        <f>C29</f>
        <v>250000</v>
      </c>
      <c r="F29" s="3"/>
      <c r="G29" s="3"/>
      <c r="H29" s="3"/>
    </row>
    <row r="30" spans="2:8" ht="19">
      <c r="B30" s="45" t="s">
        <v>31</v>
      </c>
      <c r="C30" s="19">
        <v>0</v>
      </c>
      <c r="D30" s="55">
        <f>IF(C30&gt;2500000,2500000,C30)</f>
        <v>0</v>
      </c>
      <c r="E30" s="56">
        <f>IF(C30&gt;2500000,2500000,C30)</f>
        <v>0</v>
      </c>
      <c r="F30" s="3"/>
      <c r="G30" s="3"/>
      <c r="H30" s="3"/>
    </row>
    <row r="31" spans="2:8" ht="19">
      <c r="B31" s="52" t="s">
        <v>32</v>
      </c>
      <c r="C31" s="19">
        <v>0</v>
      </c>
      <c r="D31" s="55">
        <f>IF(C31&gt;38400,38400,0)</f>
        <v>0</v>
      </c>
      <c r="E31" s="70" t="s">
        <v>23</v>
      </c>
      <c r="F31" s="3"/>
      <c r="G31" s="3"/>
      <c r="H31" s="3"/>
    </row>
    <row r="32" spans="2:8" ht="19">
      <c r="B32" s="45" t="s">
        <v>33</v>
      </c>
      <c r="C32" s="19">
        <v>0</v>
      </c>
      <c r="D32" s="55">
        <f>C32</f>
        <v>0</v>
      </c>
      <c r="E32" s="56">
        <f>C32</f>
        <v>0</v>
      </c>
      <c r="F32" s="3"/>
      <c r="G32" s="3"/>
      <c r="H32" s="3"/>
    </row>
    <row r="33" spans="2:8" ht="19">
      <c r="B33" s="45" t="s">
        <v>34</v>
      </c>
      <c r="C33" s="19">
        <v>0</v>
      </c>
      <c r="D33" s="64" t="s">
        <v>23</v>
      </c>
      <c r="E33" s="56">
        <f>+IF(C33&gt;150000,150000,C33)</f>
        <v>0</v>
      </c>
      <c r="F33" s="3"/>
      <c r="G33" s="3"/>
      <c r="H33" s="3"/>
    </row>
    <row r="34" spans="2:8" ht="19">
      <c r="B34" s="45" t="s">
        <v>35</v>
      </c>
      <c r="C34" s="19">
        <v>0</v>
      </c>
      <c r="D34" s="64" t="s">
        <v>23</v>
      </c>
      <c r="E34" s="56">
        <f>+IF(C34&gt;50000,50000,C34)</f>
        <v>0</v>
      </c>
      <c r="F34" s="3"/>
      <c r="G34" s="3"/>
      <c r="H34" s="3"/>
    </row>
    <row r="35" spans="2:8" ht="19">
      <c r="B35" s="45" t="s">
        <v>36</v>
      </c>
      <c r="C35" s="19">
        <v>0</v>
      </c>
      <c r="D35" s="55">
        <f>C35</f>
        <v>0</v>
      </c>
      <c r="E35" s="56">
        <f>C35</f>
        <v>0</v>
      </c>
      <c r="F35" s="3"/>
      <c r="G35" s="3"/>
      <c r="H35" s="3"/>
    </row>
    <row r="36" spans="2:8" ht="19">
      <c r="B36" s="45" t="s">
        <v>37</v>
      </c>
      <c r="C36" s="19">
        <v>0</v>
      </c>
      <c r="D36" s="64" t="s">
        <v>23</v>
      </c>
      <c r="E36" s="56">
        <f ca="1">+IF(C7&lt;60,IF(C36&lt;25000,C36,25000),IF(C36&lt;50000,C36,50000))</f>
        <v>0</v>
      </c>
      <c r="F36" s="3"/>
      <c r="G36" s="3"/>
      <c r="H36" s="3"/>
    </row>
    <row r="37" spans="2:8" ht="19">
      <c r="B37" s="52" t="s">
        <v>38</v>
      </c>
      <c r="C37" s="19">
        <v>0</v>
      </c>
      <c r="D37" s="64" t="s">
        <v>23</v>
      </c>
      <c r="E37" s="56">
        <f>IF(C37&gt;50000,50000,C37)</f>
        <v>0</v>
      </c>
      <c r="F37" s="3"/>
      <c r="G37" s="3"/>
      <c r="H37" s="3"/>
    </row>
    <row r="38" spans="2:8" ht="19">
      <c r="B38" s="45" t="s">
        <v>39</v>
      </c>
      <c r="C38" s="19">
        <v>0</v>
      </c>
      <c r="D38" s="55">
        <f>C38</f>
        <v>0</v>
      </c>
      <c r="E38" s="56">
        <f>C38</f>
        <v>0</v>
      </c>
      <c r="F38" s="3"/>
      <c r="G38" s="3"/>
      <c r="H38" s="3"/>
    </row>
    <row r="39" spans="2:8" ht="19">
      <c r="B39" s="45" t="s">
        <v>40</v>
      </c>
      <c r="C39" s="81"/>
      <c r="D39" s="64" t="s">
        <v>23</v>
      </c>
      <c r="E39" s="56">
        <f ca="1">+IF(C7&lt;=60,(IF(C15&gt;10000,10000,C15)),0)</f>
        <v>0</v>
      </c>
      <c r="F39" s="3"/>
      <c r="G39" s="3"/>
      <c r="H39" s="3"/>
    </row>
    <row r="40" spans="2:8" ht="19">
      <c r="B40" s="45" t="s">
        <v>41</v>
      </c>
      <c r="C40" s="81"/>
      <c r="D40" s="64" t="s">
        <v>23</v>
      </c>
      <c r="E40" s="56">
        <f ca="1">+IF(C7&gt;=60,(IF(C16&gt;50000,50000,C16)),0)</f>
        <v>0</v>
      </c>
      <c r="F40" s="3"/>
      <c r="G40" s="3"/>
      <c r="H40" s="3"/>
    </row>
    <row r="41" spans="2:8" ht="19">
      <c r="B41" s="45" t="s">
        <v>42</v>
      </c>
      <c r="C41" s="19">
        <v>0</v>
      </c>
      <c r="D41" s="55">
        <f>C41</f>
        <v>0</v>
      </c>
      <c r="E41" s="56">
        <f>C41</f>
        <v>0</v>
      </c>
    </row>
    <row r="42" spans="2:8" ht="22">
      <c r="B42" s="51" t="s">
        <v>43</v>
      </c>
      <c r="C42" s="81"/>
      <c r="D42" s="71">
        <f>D24+D30+D31+D32+D35+D38+D41</f>
        <v>0</v>
      </c>
      <c r="E42" s="72">
        <f ca="1">E23+E26+E30+E32+E33+E34+E35+E36+E37+E38+E39+E40+E41</f>
        <v>250000</v>
      </c>
    </row>
    <row r="43" spans="2:8" ht="23">
      <c r="B43" s="114" t="s">
        <v>44</v>
      </c>
      <c r="C43" s="115"/>
      <c r="D43" s="73">
        <f t="shared" ref="D43:E43" si="5">D19+D22-D42</f>
        <v>1600000</v>
      </c>
      <c r="E43" s="74">
        <f t="shared" ca="1" si="5"/>
        <v>1375000</v>
      </c>
    </row>
    <row r="44" spans="2:8" ht="25">
      <c r="B44" s="116" t="s">
        <v>45</v>
      </c>
      <c r="C44" s="117"/>
      <c r="D44" s="75">
        <f>'Tax Calculation New Regime'!F31</f>
        <v>124150</v>
      </c>
      <c r="E44" s="76">
        <f ca="1">'Tax Calculation Old Regime'!F29</f>
        <v>206050</v>
      </c>
    </row>
    <row r="45" spans="2:8" ht="23" customHeight="1">
      <c r="B45" s="124" t="s">
        <v>88</v>
      </c>
      <c r="C45" s="125"/>
      <c r="D45" s="92">
        <f>(D44)/(D12+D22)</f>
        <v>7.411940298507462E-2</v>
      </c>
      <c r="E45" s="92">
        <f ca="1">(E44)/(E12+E22)</f>
        <v>0.12301492537313433</v>
      </c>
    </row>
    <row r="46" spans="2:8" ht="28">
      <c r="B46" s="93" t="s">
        <v>46</v>
      </c>
      <c r="C46" s="94" t="str">
        <f ca="1">IF(D44&lt;E44, " New Tax Regime ", " Old Tax Regime ")</f>
        <v xml:space="preserve"> New Tax Regime </v>
      </c>
      <c r="D46" s="118">
        <f ca="1">ABS(E44-D44)</f>
        <v>81900</v>
      </c>
      <c r="E46" s="119"/>
    </row>
    <row r="47" spans="2:8" ht="26" thickBot="1">
      <c r="B47" s="122" t="s">
        <v>47</v>
      </c>
      <c r="C47" s="123"/>
      <c r="D47" s="120" t="str">
        <f ca="1">+IF(D44&lt;E44,"NEW TAX REGIME","OLD TAX REGIME")</f>
        <v>NEW TAX REGIME</v>
      </c>
      <c r="E47" s="121"/>
    </row>
    <row r="53" spans="2:7" ht="25">
      <c r="C53" s="110" t="s">
        <v>48</v>
      </c>
      <c r="D53" s="111"/>
      <c r="E53" s="111"/>
    </row>
    <row r="54" spans="2:7" ht="25">
      <c r="C54" s="6" t="s">
        <v>49</v>
      </c>
      <c r="D54" s="111"/>
      <c r="E54" s="111"/>
    </row>
    <row r="56" spans="2:7" ht="25">
      <c r="C56" s="6" t="s">
        <v>50</v>
      </c>
    </row>
    <row r="60" spans="2:7" ht="15">
      <c r="B60" s="7"/>
      <c r="D60" s="8"/>
      <c r="E60" s="8"/>
      <c r="F60" s="8"/>
      <c r="G60" s="7"/>
    </row>
    <row r="61" spans="2:7" ht="15">
      <c r="B61" s="9"/>
      <c r="D61" s="8"/>
      <c r="E61" s="8"/>
      <c r="F61" s="8"/>
      <c r="G61" s="7"/>
    </row>
  </sheetData>
  <sheetProtection algorithmName="SHA-512" hashValue="0BOOlzry3ya5UYoIstlilANgestqJ0Vo4OMxf35YpRUNEaiiHNkysdHn2T7VwLqFXAzgg/wiibtz73JSyaG7sA==" saltValue="3O+I2ZV+CUDuE2tfwW9Cqg==" spinCount="100000" sheet="1" objects="1" scenarios="1" selectLockedCells="1"/>
  <mergeCells count="16">
    <mergeCell ref="B9:E9"/>
    <mergeCell ref="B10:E10"/>
    <mergeCell ref="C53:E53"/>
    <mergeCell ref="D54:E54"/>
    <mergeCell ref="E23:E24"/>
    <mergeCell ref="B43:C43"/>
    <mergeCell ref="B44:C44"/>
    <mergeCell ref="D46:E46"/>
    <mergeCell ref="D47:E47"/>
    <mergeCell ref="B47:C47"/>
    <mergeCell ref="B45:C45"/>
    <mergeCell ref="B2:E2"/>
    <mergeCell ref="C4:D4"/>
    <mergeCell ref="C5:D5"/>
    <mergeCell ref="C6:D6"/>
    <mergeCell ref="C7:D7"/>
  </mergeCells>
  <dataValidations count="1">
    <dataValidation type="list" allowBlank="1" showErrorMessage="1" sqref="C26" xr:uid="{00000000-0002-0000-0000-000000000000}">
      <formula1>"Metro,Non-Metro"</formula1>
    </dataValidation>
  </dataValidations>
  <pageMargins left="0.25" right="0.25" top="0.75" bottom="0.75" header="0.3" footer="0.3"/>
  <pageSetup paperSize="9" scale="43"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  <pageSetUpPr fitToPage="1"/>
  </sheetPr>
  <dimension ref="B6:F39"/>
  <sheetViews>
    <sheetView showGridLines="0" showRowColHeaders="0" topLeftCell="A3" zoomScale="158" zoomScaleNormal="158" workbookViewId="0">
      <selection activeCell="B7" sqref="B7:F7"/>
    </sheetView>
  </sheetViews>
  <sheetFormatPr baseColWidth="10" defaultColWidth="12.6640625" defaultRowHeight="15.75" customHeight="1"/>
  <cols>
    <col min="1" max="1" width="7.6640625" customWidth="1"/>
    <col min="3" max="3" width="16.33203125" customWidth="1"/>
    <col min="4" max="4" width="20.33203125" customWidth="1"/>
    <col min="5" max="5" width="29.83203125" customWidth="1"/>
    <col min="6" max="6" width="20.33203125" customWidth="1"/>
  </cols>
  <sheetData>
    <row r="6" spans="2:6" ht="15.75" customHeight="1" thickBot="1"/>
    <row r="7" spans="2:6" ht="26" thickBot="1">
      <c r="B7" s="128" t="s">
        <v>87</v>
      </c>
      <c r="C7" s="129"/>
      <c r="D7" s="129"/>
      <c r="E7" s="129"/>
      <c r="F7" s="130"/>
    </row>
    <row r="8" spans="2:6" ht="20" customHeight="1">
      <c r="B8" s="131" t="s">
        <v>51</v>
      </c>
      <c r="C8" s="132"/>
      <c r="D8" s="132"/>
      <c r="E8" s="132"/>
      <c r="F8" s="133"/>
    </row>
    <row r="9" spans="2:6" ht="19">
      <c r="B9" s="134" t="s">
        <v>52</v>
      </c>
      <c r="C9" s="135"/>
      <c r="D9" s="135"/>
      <c r="E9" s="136"/>
      <c r="F9" s="22">
        <f>('ArthikDisha Income Tax Calculat'!D19-'ArthikDisha Income Tax Calculat'!D42)</f>
        <v>1425000</v>
      </c>
    </row>
    <row r="10" spans="2:6" ht="19">
      <c r="B10" s="137" t="s">
        <v>53</v>
      </c>
      <c r="C10" s="138"/>
      <c r="D10" s="138"/>
      <c r="E10" s="139"/>
      <c r="F10" s="23">
        <f>'ArthikDisha Income Tax Calculat'!D22</f>
        <v>175000</v>
      </c>
    </row>
    <row r="11" spans="2:6" ht="19">
      <c r="B11" s="140" t="s">
        <v>54</v>
      </c>
      <c r="C11" s="141"/>
      <c r="D11" s="141"/>
      <c r="E11" s="142"/>
      <c r="F11" s="36">
        <f>F9+F10</f>
        <v>1600000</v>
      </c>
    </row>
    <row r="12" spans="2:6" ht="18">
      <c r="B12" s="143" t="s">
        <v>55</v>
      </c>
      <c r="C12" s="144"/>
      <c r="D12" s="24" t="s">
        <v>56</v>
      </c>
      <c r="E12" s="24" t="s">
        <v>57</v>
      </c>
      <c r="F12" s="25" t="s">
        <v>58</v>
      </c>
    </row>
    <row r="13" spans="2:6" ht="18">
      <c r="B13" s="145" t="s">
        <v>59</v>
      </c>
      <c r="C13" s="142"/>
      <c r="D13" s="10">
        <v>0</v>
      </c>
      <c r="E13" s="11">
        <f>IF(F9&gt;400000,400000,F9)</f>
        <v>400000</v>
      </c>
      <c r="F13" s="26">
        <f t="shared" ref="F13:F19" si="0">+E13*D13</f>
        <v>0</v>
      </c>
    </row>
    <row r="14" spans="2:6" ht="18">
      <c r="B14" s="146" t="s">
        <v>60</v>
      </c>
      <c r="C14" s="139"/>
      <c r="D14" s="12">
        <v>0.05</v>
      </c>
      <c r="E14" s="13">
        <f>IF(F9&gt;800000,400000,F9-E13)</f>
        <v>400000</v>
      </c>
      <c r="F14" s="27">
        <f t="shared" si="0"/>
        <v>20000</v>
      </c>
    </row>
    <row r="15" spans="2:6" ht="18">
      <c r="B15" s="145" t="s">
        <v>61</v>
      </c>
      <c r="C15" s="142"/>
      <c r="D15" s="14">
        <v>0.1</v>
      </c>
      <c r="E15" s="11">
        <f>IF(F9&gt;1200000,400000,F9-E13-E14)</f>
        <v>400000</v>
      </c>
      <c r="F15" s="26">
        <f t="shared" si="0"/>
        <v>40000</v>
      </c>
    </row>
    <row r="16" spans="2:6" ht="18">
      <c r="B16" s="146" t="s">
        <v>62</v>
      </c>
      <c r="C16" s="139"/>
      <c r="D16" s="12">
        <v>0.15</v>
      </c>
      <c r="E16" s="13">
        <f>IF(F9&gt;1600000,400000,F9-E13-E14-E15)</f>
        <v>225000</v>
      </c>
      <c r="F16" s="27">
        <f t="shared" si="0"/>
        <v>33750</v>
      </c>
    </row>
    <row r="17" spans="2:6" ht="18">
      <c r="B17" s="145" t="s">
        <v>63</v>
      </c>
      <c r="C17" s="142"/>
      <c r="D17" s="14">
        <v>0.2</v>
      </c>
      <c r="E17" s="11">
        <f>IF(F9&gt;2000000,400000,F9-E13-E14-E15-E16)</f>
        <v>0</v>
      </c>
      <c r="F17" s="26">
        <f t="shared" si="0"/>
        <v>0</v>
      </c>
    </row>
    <row r="18" spans="2:6" ht="18">
      <c r="B18" s="146" t="s">
        <v>64</v>
      </c>
      <c r="C18" s="139"/>
      <c r="D18" s="12">
        <v>0.25</v>
      </c>
      <c r="E18" s="13">
        <f>IF(F9&gt;2400000,400000,F9-E13-E14-E15-E16-E17)</f>
        <v>0</v>
      </c>
      <c r="F18" s="27">
        <f t="shared" si="0"/>
        <v>0</v>
      </c>
    </row>
    <row r="19" spans="2:6" ht="18">
      <c r="B19" s="145" t="s">
        <v>65</v>
      </c>
      <c r="C19" s="142"/>
      <c r="D19" s="14">
        <v>0.3</v>
      </c>
      <c r="E19" s="11">
        <f>+IF(F9&gt;2400000,F9-2400000,F9-E13-E14-E15-E16-E17-E18)</f>
        <v>0</v>
      </c>
      <c r="F19" s="26">
        <f t="shared" si="0"/>
        <v>0</v>
      </c>
    </row>
    <row r="20" spans="2:6" ht="20" thickBot="1">
      <c r="B20" s="147" t="s">
        <v>66</v>
      </c>
      <c r="C20" s="148"/>
      <c r="D20" s="148"/>
      <c r="E20" s="149"/>
      <c r="F20" s="28">
        <f>+SUM(F13:F19)</f>
        <v>93750</v>
      </c>
    </row>
    <row r="21" spans="2:6" ht="7.5" customHeight="1" thickTop="1" thickBot="1">
      <c r="B21" s="157"/>
      <c r="C21" s="158"/>
      <c r="D21" s="158"/>
      <c r="E21" s="158"/>
      <c r="F21" s="159"/>
    </row>
    <row r="22" spans="2:6" ht="28" customHeight="1" thickTop="1">
      <c r="B22" s="160" t="s">
        <v>67</v>
      </c>
      <c r="C22" s="161"/>
      <c r="D22" s="161"/>
      <c r="E22" s="162"/>
      <c r="F22" s="29">
        <f>IF(F9&gt;=1200000,(IF(F20&gt;=(F9-1200000),(F20-(F9-1200000)),IF(F20&gt;60000,0,F20))),IF(F20&gt;60000,0,F20))</f>
        <v>0</v>
      </c>
    </row>
    <row r="23" spans="2:6" ht="18">
      <c r="B23" s="163" t="s">
        <v>68</v>
      </c>
      <c r="C23" s="138"/>
      <c r="D23" s="138"/>
      <c r="E23" s="139"/>
      <c r="F23" s="30">
        <f>+F20-F22</f>
        <v>93750</v>
      </c>
    </row>
    <row r="24" spans="2:6" ht="18">
      <c r="B24" s="150" t="s">
        <v>69</v>
      </c>
      <c r="C24" s="151"/>
      <c r="D24" s="151"/>
      <c r="E24" s="152"/>
      <c r="F24" s="31">
        <f>'ArthikDisha Income Tax Calculat'!D20*20%</f>
        <v>10000</v>
      </c>
    </row>
    <row r="25" spans="2:6" ht="18">
      <c r="B25" s="153" t="s">
        <v>70</v>
      </c>
      <c r="C25" s="138"/>
      <c r="D25" s="138"/>
      <c r="E25" s="139"/>
      <c r="F25" s="32">
        <f>('ArthikDisha Income Tax Calculat'!D21)*12.5%</f>
        <v>15625</v>
      </c>
    </row>
    <row r="26" spans="2:6" ht="18">
      <c r="B26" s="164" t="s">
        <v>71</v>
      </c>
      <c r="C26" s="151"/>
      <c r="D26" s="151"/>
      <c r="E26" s="152"/>
      <c r="F26" s="33">
        <f>(F24+F25)</f>
        <v>25625</v>
      </c>
    </row>
    <row r="27" spans="2:6" ht="18">
      <c r="B27" s="163" t="s">
        <v>72</v>
      </c>
      <c r="C27" s="138"/>
      <c r="D27" s="138"/>
      <c r="E27" s="139"/>
      <c r="F27" s="34">
        <f>F23+F26</f>
        <v>119375</v>
      </c>
    </row>
    <row r="28" spans="2:6" ht="18">
      <c r="B28" s="150" t="s">
        <v>73</v>
      </c>
      <c r="C28" s="151"/>
      <c r="D28" s="151"/>
      <c r="E28" s="152"/>
      <c r="F28" s="35">
        <f>+IF(F11&gt;20000000,F27*0.25,(IF(F11&gt;10000000,F27*0.15,(IF(F11&gt;5000000,F27*0.1,0)))))</f>
        <v>0</v>
      </c>
    </row>
    <row r="29" spans="2:6" ht="18">
      <c r="B29" s="153" t="s">
        <v>74</v>
      </c>
      <c r="C29" s="138"/>
      <c r="D29" s="138"/>
      <c r="E29" s="139"/>
      <c r="F29" s="34">
        <f>F27+F28</f>
        <v>119375</v>
      </c>
    </row>
    <row r="30" spans="2:6" ht="18">
      <c r="B30" s="150" t="s">
        <v>75</v>
      </c>
      <c r="C30" s="151"/>
      <c r="D30" s="151"/>
      <c r="E30" s="152"/>
      <c r="F30" s="35">
        <f>+F29*0.04</f>
        <v>4775</v>
      </c>
    </row>
    <row r="31" spans="2:6" ht="24" thickBot="1">
      <c r="B31" s="154" t="s">
        <v>76</v>
      </c>
      <c r="C31" s="155"/>
      <c r="D31" s="155"/>
      <c r="E31" s="156"/>
      <c r="F31" s="91">
        <f>+F30+F29</f>
        <v>124150</v>
      </c>
    </row>
    <row r="36" spans="4:6" ht="22" customHeight="1">
      <c r="D36" s="126" t="s">
        <v>48</v>
      </c>
      <c r="E36" s="127"/>
      <c r="F36" s="127"/>
    </row>
    <row r="37" spans="4:6" ht="22" customHeight="1">
      <c r="D37" s="84" t="s">
        <v>49</v>
      </c>
      <c r="E37" s="111"/>
      <c r="F37" s="111"/>
    </row>
    <row r="39" spans="4:6" ht="20" customHeight="1">
      <c r="D39" s="84" t="s">
        <v>50</v>
      </c>
    </row>
  </sheetData>
  <sheetProtection algorithmName="SHA-512" hashValue="KOe2Egxzv4Pz0Y8TNTq4wOnVzgAMOAgliCzQzA0cznvIxTD3aG+wLUT8fNiibHTIm/P+kPUZos2NQXHQP/SAEA==" saltValue="wcJlzc9fSmH1xgsgU/DYNA==" spinCount="100000" sheet="1" objects="1" scenarios="1" selectLockedCells="1"/>
  <mergeCells count="27">
    <mergeCell ref="B28:E28"/>
    <mergeCell ref="B29:E29"/>
    <mergeCell ref="B30:E30"/>
    <mergeCell ref="B31:E31"/>
    <mergeCell ref="B21:F21"/>
    <mergeCell ref="B22:E22"/>
    <mergeCell ref="B23:E23"/>
    <mergeCell ref="B24:E24"/>
    <mergeCell ref="B25:E25"/>
    <mergeCell ref="B26:E26"/>
    <mergeCell ref="B27:E27"/>
    <mergeCell ref="D36:F36"/>
    <mergeCell ref="E37:F37"/>
    <mergeCell ref="B7:F7"/>
    <mergeCell ref="B8:F8"/>
    <mergeCell ref="B9:E9"/>
    <mergeCell ref="B10:E10"/>
    <mergeCell ref="B11:E11"/>
    <mergeCell ref="B12:C12"/>
    <mergeCell ref="B13:C13"/>
    <mergeCell ref="B14:C14"/>
    <mergeCell ref="B15:C15"/>
    <mergeCell ref="B16:C16"/>
    <mergeCell ref="B17:C17"/>
    <mergeCell ref="B18:C18"/>
    <mergeCell ref="B19:C19"/>
    <mergeCell ref="B20:E20"/>
  </mergeCells>
  <pageMargins left="0.7" right="0.7" top="0.75" bottom="0.75" header="0.3" footer="0.3"/>
  <pageSetup paperSize="9" scale="76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  <outlinePr summaryBelow="0" summaryRight="0"/>
    <pageSetUpPr fitToPage="1"/>
  </sheetPr>
  <dimension ref="B7:F37"/>
  <sheetViews>
    <sheetView showGridLines="0" showRowColHeaders="0" zoomScale="150" zoomScaleNormal="150" workbookViewId="0">
      <selection activeCell="F24" sqref="F24"/>
    </sheetView>
  </sheetViews>
  <sheetFormatPr baseColWidth="10" defaultColWidth="12.6640625" defaultRowHeight="15.75" customHeight="1"/>
  <cols>
    <col min="1" max="1" width="5.1640625" customWidth="1"/>
    <col min="2" max="2" width="23.1640625" customWidth="1"/>
    <col min="4" max="4" width="17.6640625" customWidth="1"/>
    <col min="5" max="5" width="17.83203125" customWidth="1"/>
    <col min="6" max="6" width="27.5" customWidth="1"/>
  </cols>
  <sheetData>
    <row r="7" spans="2:6" ht="15.75" customHeight="1" thickBot="1"/>
    <row r="8" spans="2:6" ht="26" thickBot="1">
      <c r="B8" s="128" t="s">
        <v>77</v>
      </c>
      <c r="C8" s="129"/>
      <c r="D8" s="129"/>
      <c r="E8" s="129"/>
      <c r="F8" s="130"/>
    </row>
    <row r="9" spans="2:6" ht="18" customHeight="1">
      <c r="B9" s="165" t="s">
        <v>78</v>
      </c>
      <c r="C9" s="132"/>
      <c r="D9" s="132"/>
      <c r="E9" s="132"/>
      <c r="F9" s="133"/>
    </row>
    <row r="10" spans="2:6" ht="19">
      <c r="B10" s="134" t="s">
        <v>52</v>
      </c>
      <c r="C10" s="135"/>
      <c r="D10" s="135"/>
      <c r="E10" s="136"/>
      <c r="F10" s="22">
        <f ca="1">'ArthikDisha Income Tax Calculat'!E19-'ArthikDisha Income Tax Calculat'!E42</f>
        <v>1200000</v>
      </c>
    </row>
    <row r="11" spans="2:6" ht="19">
      <c r="B11" s="137" t="s">
        <v>53</v>
      </c>
      <c r="C11" s="138"/>
      <c r="D11" s="138"/>
      <c r="E11" s="139"/>
      <c r="F11" s="23">
        <f>'ArthikDisha Income Tax Calculat'!D22</f>
        <v>175000</v>
      </c>
    </row>
    <row r="12" spans="2:6" ht="19">
      <c r="B12" s="140" t="s">
        <v>54</v>
      </c>
      <c r="C12" s="141"/>
      <c r="D12" s="141"/>
      <c r="E12" s="142"/>
      <c r="F12" s="36">
        <f ca="1">F10+F11</f>
        <v>1375000</v>
      </c>
    </row>
    <row r="13" spans="2:6" ht="18">
      <c r="B13" s="143" t="s">
        <v>55</v>
      </c>
      <c r="C13" s="144"/>
      <c r="D13" s="24" t="s">
        <v>56</v>
      </c>
      <c r="E13" s="24" t="s">
        <v>57</v>
      </c>
      <c r="F13" s="25" t="s">
        <v>58</v>
      </c>
    </row>
    <row r="14" spans="2:6" ht="18">
      <c r="B14" s="145" t="s">
        <v>79</v>
      </c>
      <c r="C14" s="142"/>
      <c r="D14" s="10">
        <v>0</v>
      </c>
      <c r="E14" s="11">
        <f ca="1">IF(F10&gt;250000,250000,F10)</f>
        <v>250000</v>
      </c>
      <c r="F14" s="26">
        <f ca="1">E14*D14</f>
        <v>0</v>
      </c>
    </row>
    <row r="15" spans="2:6" ht="18">
      <c r="B15" s="146" t="s">
        <v>80</v>
      </c>
      <c r="C15" s="139"/>
      <c r="D15" s="12">
        <v>0.05</v>
      </c>
      <c r="E15" s="13">
        <f ca="1">IF(F10&gt;500000,250000,F10-E14)</f>
        <v>250000</v>
      </c>
      <c r="F15" s="27">
        <f t="shared" ref="F15:F17" ca="1" si="0">+E15*D15</f>
        <v>12500</v>
      </c>
    </row>
    <row r="16" spans="2:6" ht="18">
      <c r="B16" s="145" t="s">
        <v>81</v>
      </c>
      <c r="C16" s="142"/>
      <c r="D16" s="14">
        <v>0.2</v>
      </c>
      <c r="E16" s="11">
        <f ca="1">IF(F10&gt;1000000,500000,F10-E14-E15)</f>
        <v>500000</v>
      </c>
      <c r="F16" s="26">
        <f t="shared" ca="1" si="0"/>
        <v>100000</v>
      </c>
    </row>
    <row r="17" spans="2:6" ht="18">
      <c r="B17" s="146" t="s">
        <v>82</v>
      </c>
      <c r="C17" s="139"/>
      <c r="D17" s="12">
        <v>0.3</v>
      </c>
      <c r="E17" s="13">
        <f ca="1">IF(F10&gt;1000000,F10-E14-E15-E16,0)</f>
        <v>200000</v>
      </c>
      <c r="F17" s="27">
        <f t="shared" ca="1" si="0"/>
        <v>60000</v>
      </c>
    </row>
    <row r="18" spans="2:6" ht="21" thickBot="1">
      <c r="B18" s="166" t="s">
        <v>66</v>
      </c>
      <c r="C18" s="167"/>
      <c r="D18" s="167"/>
      <c r="E18" s="168"/>
      <c r="F18" s="28">
        <f ca="1">+SUM(F14:F17)</f>
        <v>172500</v>
      </c>
    </row>
    <row r="19" spans="2:6" ht="9.75" customHeight="1" thickTop="1" thickBot="1">
      <c r="B19" s="157"/>
      <c r="C19" s="158"/>
      <c r="D19" s="158"/>
      <c r="E19" s="158"/>
      <c r="F19" s="159"/>
    </row>
    <row r="20" spans="2:6" ht="31" customHeight="1" thickTop="1">
      <c r="B20" s="160" t="s">
        <v>83</v>
      </c>
      <c r="C20" s="161"/>
      <c r="D20" s="161"/>
      <c r="E20" s="162"/>
      <c r="F20" s="29">
        <f ca="1">IF(F10&lt;=500000,IF(F18&gt;12500,0,F18),0)</f>
        <v>0</v>
      </c>
    </row>
    <row r="21" spans="2:6" ht="18">
      <c r="B21" s="163" t="s">
        <v>68</v>
      </c>
      <c r="C21" s="138"/>
      <c r="D21" s="138"/>
      <c r="E21" s="139"/>
      <c r="F21" s="30">
        <f ca="1">+F18-F20</f>
        <v>172500</v>
      </c>
    </row>
    <row r="22" spans="2:6" ht="18">
      <c r="B22" s="150" t="s">
        <v>69</v>
      </c>
      <c r="C22" s="151"/>
      <c r="D22" s="151"/>
      <c r="E22" s="152"/>
      <c r="F22" s="31">
        <f>'ArthikDisha Income Tax Calculat'!D20*20%</f>
        <v>10000</v>
      </c>
    </row>
    <row r="23" spans="2:6" ht="18">
      <c r="B23" s="153" t="s">
        <v>70</v>
      </c>
      <c r="C23" s="138"/>
      <c r="D23" s="138"/>
      <c r="E23" s="139"/>
      <c r="F23" s="32">
        <f>('ArthikDisha Income Tax Calculat'!D21)*12.5%</f>
        <v>15625</v>
      </c>
    </row>
    <row r="24" spans="2:6" ht="20">
      <c r="B24" s="164" t="s">
        <v>71</v>
      </c>
      <c r="C24" s="151"/>
      <c r="D24" s="151"/>
      <c r="E24" s="152"/>
      <c r="F24" s="90">
        <f>(F22+F23)</f>
        <v>25625</v>
      </c>
    </row>
    <row r="25" spans="2:6" ht="18">
      <c r="B25" s="163" t="s">
        <v>72</v>
      </c>
      <c r="C25" s="138"/>
      <c r="D25" s="138"/>
      <c r="E25" s="139"/>
      <c r="F25" s="34">
        <f ca="1">F21+F24</f>
        <v>198125</v>
      </c>
    </row>
    <row r="26" spans="2:6" ht="18">
      <c r="B26" s="150" t="s">
        <v>73</v>
      </c>
      <c r="C26" s="151"/>
      <c r="D26" s="151"/>
      <c r="E26" s="152"/>
      <c r="F26" s="35">
        <f ca="1">+IF(F12&gt;20000000,F25*0.25,(IF(F12&gt;10000000,F25*0.15,(IF(F12&gt;5000000,F25*0.1,0)))))</f>
        <v>0</v>
      </c>
    </row>
    <row r="27" spans="2:6" ht="18">
      <c r="B27" s="153" t="s">
        <v>74</v>
      </c>
      <c r="C27" s="138"/>
      <c r="D27" s="138"/>
      <c r="E27" s="139"/>
      <c r="F27" s="34">
        <f ca="1">F25+F26</f>
        <v>198125</v>
      </c>
    </row>
    <row r="28" spans="2:6" ht="18">
      <c r="B28" s="150" t="s">
        <v>75</v>
      </c>
      <c r="C28" s="151"/>
      <c r="D28" s="151"/>
      <c r="E28" s="152"/>
      <c r="F28" s="35">
        <f ca="1">+F27*0.04</f>
        <v>7925</v>
      </c>
    </row>
    <row r="29" spans="2:6" ht="24" thickBot="1">
      <c r="B29" s="154" t="s">
        <v>86</v>
      </c>
      <c r="C29" s="155"/>
      <c r="D29" s="155"/>
      <c r="E29" s="156"/>
      <c r="F29" s="91">
        <f ca="1">+F28+F27</f>
        <v>206050</v>
      </c>
    </row>
    <row r="34" spans="4:6" ht="21">
      <c r="D34" s="126" t="s">
        <v>48</v>
      </c>
      <c r="E34" s="127"/>
      <c r="F34" s="127"/>
    </row>
    <row r="35" spans="4:6" ht="16">
      <c r="D35" s="84" t="s">
        <v>49</v>
      </c>
      <c r="E35" s="111"/>
      <c r="F35" s="111"/>
    </row>
    <row r="36" spans="4:6" ht="15.75" customHeight="1">
      <c r="D36" s="83"/>
    </row>
    <row r="37" spans="4:6" ht="16">
      <c r="D37" s="84" t="s">
        <v>50</v>
      </c>
    </row>
  </sheetData>
  <sheetProtection algorithmName="SHA-512" hashValue="OVuRbtnbdn6a/b6sU57FEsx3gTz6K4jVs2qzDzQODHuVO2AMbot2nUmY2HhyPnDkx/aPCKRQKJlAfboYhYUyMw==" saltValue="6EBWSx7WtB6v14VP6o/wMg==" spinCount="100000" sheet="1" objects="1" scenarios="1" selectLockedCells="1"/>
  <mergeCells count="24">
    <mergeCell ref="B29:E29"/>
    <mergeCell ref="B19:F19"/>
    <mergeCell ref="B20:E20"/>
    <mergeCell ref="B21:E21"/>
    <mergeCell ref="B22:E22"/>
    <mergeCell ref="B23:E23"/>
    <mergeCell ref="B24:E24"/>
    <mergeCell ref="B25:E25"/>
    <mergeCell ref="D34:F34"/>
    <mergeCell ref="E35:F35"/>
    <mergeCell ref="B8:F8"/>
    <mergeCell ref="B9:F9"/>
    <mergeCell ref="B10:E10"/>
    <mergeCell ref="B11:E11"/>
    <mergeCell ref="B12:E12"/>
    <mergeCell ref="B13:C13"/>
    <mergeCell ref="B18:E18"/>
    <mergeCell ref="B26:E26"/>
    <mergeCell ref="B27:E27"/>
    <mergeCell ref="B28:E28"/>
    <mergeCell ref="B14:C14"/>
    <mergeCell ref="B15:C15"/>
    <mergeCell ref="B16:C16"/>
    <mergeCell ref="B17:C17"/>
  </mergeCells>
  <pageMargins left="0.7" right="0.7" top="0.75" bottom="0.75" header="0.3" footer="0.3"/>
  <pageSetup paperSize="9" scale="7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ArthikDisha Income Tax Calculat</vt:lpstr>
      <vt:lpstr>Tax Calculation New Regime</vt:lpstr>
      <vt:lpstr>Tax Calculation Old Regime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1852</cp:lastModifiedBy>
  <cp:lastPrinted>2025-12-29T16:14:16Z</cp:lastPrinted>
  <dcterms:created xsi:type="dcterms:W3CDTF">2025-09-25T03:26:24Z</dcterms:created>
  <dcterms:modified xsi:type="dcterms:W3CDTF">2026-01-01T14:38:15Z</dcterms:modified>
</cp:coreProperties>
</file>